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NFkh7gTTh+2y6+Eva6SUuek02x/1qdEtlHFUMhxglm74BEfRPIVYHb5KECLpQ8NFEkP3xZA4WKcfE5Fvdxz0JA==" workbookSaltValue="I+r9cqS2q6hRKZ1lCxhkqw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K223" i="83" s="1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F53" i="83" l="1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S279" i="83" l="1"/>
  <c r="Z279" i="83"/>
  <c r="Y133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K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H214" i="83"/>
  <c r="AG214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G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I214" i="83" l="1"/>
  <c r="AC334" i="83"/>
  <c r="AH302" i="83"/>
  <c r="AH158" i="83"/>
  <c r="AH190" i="83"/>
  <c r="AH243" i="83"/>
  <c r="AK245" i="83"/>
  <c r="AO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M44" i="83" l="1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Z43" i="83" s="1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41" i="83"/>
  <c r="AC420" i="83"/>
  <c r="Y41" i="83" s="1"/>
  <c r="AA39" i="83"/>
  <c r="AA43" i="83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Z36" i="83" l="1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<sst xmlns="http://schemas.openxmlformats.org/spreadsheetml/2006/main" count="65797" uniqueCount="757">
  <si>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</si>
  <si>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</si>
  <si>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</si>
  <si>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</si>
  <si>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</si>
  <si>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</si>
  <si>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</si>
  <si>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</si>
  <si>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</si>
  <si>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</si>
  <si>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</si>
  <si>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</si>
  <si>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</si>
  <si>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</si>
  <si>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</si>
  <si>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</si>
  <si>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</si>
  <si>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</si>
  <si>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</si>
  <si>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</si>
  <si>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</si>
  <si>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</si>
  <si>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</si>
  <si>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</si>
  <si>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</si>
  <si>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</si>
  <si>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</si>
  <si>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</si>
  <si>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</si>
  <si>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</si>
  <si>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</si>
  <si>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</si>
  <si>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</si>
  <si>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</si>
  <si>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</si>
  <si>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</si>
  <si>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</si>
  <si>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</si>
  <si>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</si>
  <si>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</si>
  <si>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</si>
  <si>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</si>
  <si>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</si>
  <si>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</si>
  <si>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</si>
  <si>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</si>
  <si>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</si>
  <si>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</si>
  <si>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</si>
  <si>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</si>
  <si>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</si>
  <si>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</si>
  <si>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</si>
  <si>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</si>
  <si>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</si>
  <si>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</si>
  <si>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</si>
  <si>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</si>
  <si>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</si>
  <si>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</si>
  <si>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</si>
  <si>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</si>
  <si>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</si>
  <si>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</si>
  <si>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</si>
  <si>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</si>
  <si>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</si>
  <si>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</si>
  <si>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</si>
  <si>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</si>
  <si>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</si>
  <si>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</si>
  <si>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</si>
  <si>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</si>
  <si>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</si>
  <si>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</si>
  <si>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</si>
  <si>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</si>
  <si>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</si>
  <si>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</si>
  <si>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</si>
  <si>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</si>
  <si>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</si>
  <si>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</si>
  <si>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</si>
  <si>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</si>
  <si>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</si>
  <si>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</si>
  <si>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</si>
  <si>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</si>
  <si>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</si>
  <si>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</si>
  <si>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</si>
  <si>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</si>
  <si>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</si>
  <si>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</si>
  <si>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</si>
  <si>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</si>
  <si>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</si>
  <si>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</si>
  <si>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</si>
  <si>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</si>
  <si>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</si>
  <si>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</si>
  <si>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</si>
  <si>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</si>
  <si>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</si>
  <si>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</si>
  <si>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</si>
  <si>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</si>
  <si>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</si>
  <si>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</si>
  <si>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</si>
  <si>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</si>
  <si>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</si>
  <si>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</si>
  <si>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</si>
  <si>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</si>
  <si>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</si>
  <si>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</si>
  <si>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</si>
  <si>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</si>
  <si>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</si>
  <si>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</si>
  <si>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</si>
  <si>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</si>
  <si>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</si>
  <si>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</si>
  <si>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</si>
  <si>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</si>
  <si>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</si>
  <si>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</si>
  <si>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</si>
  <si>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</si>
  <si>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</si>
  <si>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</si>
  <si>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</si>
  <si>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</si>
  <si>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</si>
  <si>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</si>
  <si>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</si>
  <si>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</si>
  <si>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</si>
  <si>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</si>
  <si>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</si>
  <si>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</si>
  <si>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</si>
  <si>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</si>
  <si>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</si>
  <si>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</si>
  <si>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</si>
  <si>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</si>
  <si>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</si>
  <si>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</si>
  <si>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</si>
  <si>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</si>
  <si>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</si>
  <si>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</si>
  <si>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</si>
  <si>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</si>
  <si>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</si>
  <si>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</si>
  <si>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</si>
  <si>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</si>
  <si>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</si>
  <si>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</si>
  <si>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</si>
  <si>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</si>
  <si>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</si>
  <si>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</si>
  <si>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</si>
  <si>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</si>
  <si>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</si>
  <si>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</si>
  <si>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</si>
  <si>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</si>
  <si>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</si>
  <si>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</si>
  <si>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</si>
  <si>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</si>
  <si>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</si>
  <si>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</si>
  <si>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</si>
  <si>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</si>
  <si>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</si>
  <si>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</si>
  <si>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</si>
  <si>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</si>
  <si>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</si>
  <si>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</si>
  <si>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</si>
  <si>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</si>
  <si>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</si>
  <si>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</si>
  <si>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</si>
  <si>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</si>
  <si>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</si>
  <si>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</si>
  <si>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</si>
  <si>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</si>
  <si>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</si>
  <si>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</si>
  <si>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</si>
  <si>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</si>
  <si>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</si>
  <si>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</si>
  <si>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</si>
  <si>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</si>
  <si>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</si>
  <si>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</si>
  <si>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</si>
  <si>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</si>
  <si>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</si>
  <si>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</si>
  <si>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</si>
  <si>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</si>
  <si>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</si>
  <si>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</si>
  <si>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</si>
  <si>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</si>
  <si>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</si>
  <si>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</si>
  <si>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</si>
  <si>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</si>
  <si>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</si>
  <si>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</si>
  <si>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</si>
  <si>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</si>
  <si>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</si>
  <si>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</si>
  <si>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</si>
  <si>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</si>
  <si>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</si>
  <si>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</si>
  <si>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</si>
  <si>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</si>
  <si>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</si>
  <si>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</si>
  <si>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</si>
  <si>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</si>
  <si>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</si>
  <si>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</si>
  <si>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</si>
  <si>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</si>
  <si>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</si>
  <si>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</si>
  <si>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</si>
  <si>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</si>
  <si>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</si>
  <si>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</si>
  <si>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</si>
  <si>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</si>
  <si>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</si>
  <si>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</si>
  <si>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</si>
  <si>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</si>
  <si>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</si>
  <si>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</si>
  <si>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</si>
  <si>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</si>
  <si>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</si>
  <si>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</si>
  <si>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</si>
  <si>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</si>
  <si>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</si>
  <si>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</si>
  <si>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</si>
  <si>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</si>
  <si>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</si>
  <si>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</si>
  <si>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</si>
  <si>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</si>
  <si>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</si>
  <si>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</si>
  <si>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</si>
  <si>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</si>
  <si>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</si>
  <si>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</si>
  <si>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</si>
  <si>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</si>
  <si>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</si>
  <si>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</si>
  <si>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</si>
  <si>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</si>
  <si>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</si>
  <si>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</si>
  <si>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</si>
  <si>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</si>
  <si>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</si>
  <si>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</si>
  <si>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</si>
  <si>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</si>
  <si>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</si>
  <si>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</si>
  <si>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</si>
  <si>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</si>
  <si>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</si>
  <si>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</si>
  <si>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</si>
  <si>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</si>
  <si>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</si>
  <si>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</si>
  <si>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</si>
  <si>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</si>
  <si>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</si>
  <si>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</si>
  <si>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</si>
  <si>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</si>
  <si>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</si>
  <si>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</si>
  <si>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</si>
  <si>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</si>
  <si>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</si>
  <si>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</si>
  <si>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</si>
  <si>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</si>
  <si>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</si>
  <si>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</si>
  <si>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</si>
  <si>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</si>
  <si>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</si>
  <si>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</si>
  <si>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</si>
  <si>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</si>
  <si>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</si>
  <si>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</si>
  <si>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</si>
  <si>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</si>
  <si>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</si>
  <si>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</si>
  <si>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</si>
  <si>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</si>
  <si>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</si>
  <si>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</si>
  <si>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</si>
  <si>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</si>
  <si>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</si>
  <si>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</si>
  <si>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</si>
  <si>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</si>
  <si>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</si>
  <si>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</si>
  <si>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</si>
  <si>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</si>
  <si>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</si>
  <si>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</si>
  <si>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</si>
  <si>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</si>
  <si>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</si>
  <si>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</si>
  <si>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</si>
  <si>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</si>
  <si>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</si>
  <si>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</si>
  <si>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</si>
  <si>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</si>
  <si>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</si>
  <si>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</si>
  <si>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</si>
  <si>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</si>
  <si>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</si>
  <si>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</si>
  <si>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</si>
  <si>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</si>
  <si>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</si>
  <si>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</si>
  <si>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</si>
  <si>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</si>
  <si>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</si>
  <si>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</si>
  <si>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</si>
  <si>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</si>
  <si>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</si>
  <si>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</si>
  <si>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</si>
  <si>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</si>
  <si>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</si>
  <si>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</si>
  <si>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</si>
  <si>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</si>
  <si>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</si>
  <si>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</si>
  <si>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</si>
  <si>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</si>
  <si>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</si>
  <si>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</si>
  <si>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</si>
  <si>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</si>
  <si>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</si>
  <si>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</si>
  <si>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</si>
  <si>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</si>
  <si>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</si>
  <si>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</si>
  <si>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</si>
  <si>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</si>
  <si>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</si>
  <si>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</si>
  <si>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</si>
  <si>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</si>
  <si>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</si>
  <si>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</si>
  <si>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</si>
  <si>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</si>
  <si>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</si>
  <si>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</si>
  <si>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</si>
  <si>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</si>
  <si>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</si>
  <si>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</si>
  <si>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</si>
  <si>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</si>
  <si>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</si>
  <si>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</si>
  <si>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</si>
  <si>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</si>
  <si>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</si>
  <si>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</si>
  <si>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</si>
  <si>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</si>
  <si>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</si>
  <si>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</si>
  <si>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</si>
  <si>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</si>
  <si>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</si>
  <si>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</si>
  <si>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</si>
  <si>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</si>
  <si>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</si>
  <si>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</si>
  <si>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</si>
  <si>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</si>
  <si>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</si>
  <si>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</si>
  <si>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</si>
  <si>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</si>
  <si>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</si>
  <si>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</si>
  <si>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</si>
  <si>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</si>
  <si>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</si>
  <si>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</si>
  <si>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</si>
  <si>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</si>
  <si>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</si>
  <si>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</si>
  <si>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</si>
  <si>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</si>
  <si>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</si>
  <si>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</si>
  <si>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</si>
  <si>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</si>
  <si>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</si>
  <si>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</si>
  <si>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</si>
  <si>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</si>
  <si>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</si>
  <si>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</si>
  <si>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</si>
  <si>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</si>
  <si>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</si>
  <si>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</si>
  <si>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</si>
  <si>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</si>
  <si>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</si>
  <si>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</si>
  <si>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</si>
  <si>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</si>
  <si>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</si>
  <si>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</si>
  <si>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</si>
  <si>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</si>
  <si>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</si>
  <si>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</si>
  <si>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</si>
  <si>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</si>
  <si>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</si>
  <si>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</si>
  <si>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</si>
  <si>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</si>
  <si>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</si>
  <si>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</si>
  <si>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</si>
  <si>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</si>
  <si>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</si>
  <si>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</si>
  <si>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</si>
  <si>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</si>
  <si>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</si>
  <si>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</si>
  <si>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</si>
  <si>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</si>
  <si>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</si>
  <si>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</si>
  <si>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</si>
  <si>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</si>
  <si>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</si>
  <si>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</si>
  <si>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</si>
  <si>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</si>
  <si>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</si>
  <si>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</si>
  <si>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</si>
  <si>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</si>
  <si>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</si>
  <si>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</si>
  <si>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</si>
  <si>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</si>
  <si>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</si>
  <si>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</si>
  <si>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</si>
  <si>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</si>
  <si>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</si>
  <si>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</si>
  <si>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</si>
  <si>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</si>
  <si>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</si>
  <si>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</si>
  <si>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</si>
  <si>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</si>
  <si>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</si>
  <si>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</si>
  <si>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</si>
  <si>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</si>
  <si>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</si>
  <si>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</si>
  <si>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</si>
  <si>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</si>
  <si>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</si>
  <si>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</si>
  <si>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</si>
  <si>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</si>
  <si>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</si>
  <si>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</si>
  <si>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</si>
  <si>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</si>
  <si>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</si>
  <si>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</si>
  <si>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</si>
  <si>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</si>
  <si>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</si>
  <si>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</si>
  <si>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</si>
  <si>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</si>
  <si>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</si>
  <si>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</si>
  <si>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</si>
  <si>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</si>
  <si>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</si>
  <si>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</si>
  <si>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</si>
  <si>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</si>
  <si>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</si>
  <si>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</si>
  <si>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</si>
  <si>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</si>
  <si>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</si>
  <si>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</si>
  <si>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</si>
  <si>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</si>
  <si>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</si>
  <si>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</si>
  <si>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</si>
  <si>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</si>
  <si>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</si>
  <si>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</si>
  <si>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</si>
  <si>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</si>
  <si>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</si>
  <si>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</si>
  <si>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</si>
  <si>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</si>
  <si>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</si>
  <si>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</si>
  <si>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</si>
  <si>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</si>
  <si>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</si>
  <si>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</si>
  <si>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</si>
  <si>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</si>
  <si>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</si>
  <si>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</si>
  <si>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</si>
  <si>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</si>
  <si>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</si>
  <si>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</si>
  <si>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</si>
  <si>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</si>
  <si>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</si>
  <si>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</si>
  <si>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</si>
  <si>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</si>
  <si>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</si>
  <si>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</si>
  <si>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</si>
  <si>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</si>
  <si>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</si>
  <si>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</si>
  <si>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</si>
  <si>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</si>
  <si>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</si>
  <si>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</si>
  <si>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</si>
  <si>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</si>
  <si>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</si>
  <si>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</si>
  <si>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</si>
  <si>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</si>
  <si>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</si>
  <si>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</si>
  <si>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</si>
  <si>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</si>
  <si>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</si>
  <si>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</si>
  <si>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</si>
  <si>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</si>
  <si>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</si>
  <si>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</si>
  <si>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</si>
  <si>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</si>
  <si>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</si>
  <si>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</si>
  <si>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</si>
  <si>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</si>
  <si>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</si>
  <si>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</si>
  <si>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</si>
  <si>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</si>
  <si>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</si>
  <si>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</si>
  <si>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</si>
  <si>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</si>
  <si>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</si>
  <si>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</si>
  <si>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</si>
  <si>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</si>
  <si>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</si>
  <si>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</si>
  <si>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</si>
  <si>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</si>
  <si>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</si>
  <si>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</si>
  <si>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</si>
  <si>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</si>
  <si>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</si>
  <si>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</si>
  <si>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</si>
  <si>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</si>
  <si>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</si>
  <si>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</si>
  <si>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</si>
  <si>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</si>
  <si>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</si>
  <si>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</si>
  <si>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</si>
  <si>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</si>
  <si>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</si>
  <si>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</si>
  <si>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</si>
  <si>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</si>
  <si>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</si>
  <si>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</si>
  <si>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</si>
  <si>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</si>
  <si>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</si>
  <si>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</si>
  <si>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</si>
  <si>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</si>
  <si>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</si>
  <si>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</si>
  <si>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</si>
  <si>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</si>
  <si>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</si>
  <si>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</si>
  <si>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</si>
  <si>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</si>
  <si>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</si>
  <si>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</si>
  <si>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</si>
  <si>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</si>
  <si>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</si>
  <si>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</si>
  <si>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</si>
  <si>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</si>
  <si>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</si>
  <si>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</si>
  <si>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</si>
  <si>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</si>
  <si>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</si>
  <si>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</si>
  <si>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</si>
  <si>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</si>
  <si>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</si>
  <si>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</si>
  <si>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</si>
  <si>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</si>
  <si>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</si>
  <si>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</si>
  <si>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</si>
  <si>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</si>
  <si>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</si>
  <si>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</si>
  <si>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</si>
  <si>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</si>
  <si>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</si>
  <si>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</si>
  <si>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</si>
  <si>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</si>
  <si>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</si>
  <si>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</si>
  <si>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</si>
  <si>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</si>
  <si>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</si>
  <si>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</si>
  <si>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</si>
  <si>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</si>
  <si>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</si>
  <si>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</si>
  <si>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</si>
  <si>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</si>
  <si>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</si>
  <si>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</si>
  <si>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</si>
  <si>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</si>
  <si>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</si>
  <si>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</si>
  <si>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</si>
  <si>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</si>
  <si>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</si>
  <si>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</si>
  <si>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</si>
  <si>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</si>
  <si>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</si>
  <si>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</si>
  <si>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</si>
  <si>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</si>
  <si>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</si>
  <si>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</si>
  <si>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</si>
  <si>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</si>
  <si>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</si>
  <si>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</si>
  <si>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</si>
  <si>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</si>
  <si>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</si>
  <si>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</si>
  <si>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</si>
  <si>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</si>
  <si>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</si>
  <si>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</si>
  <si>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</si>
  <si>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</si>
  <si>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</si>
  <si>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</si>
  <si>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</si>
  <si>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Interns</t>
  </si>
  <si>
    <t>Magistrates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</si>
</sst>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21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0.81089377025072995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5.4349197611785007E-4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2.8411445975573324E-4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3.2589172354060766E-4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0.18795273158985579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6.9999999999999993E-2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1.4995738283103664E-2</v>
      </c>
      <c r="AB3">
        <f>SUMIFS(PERSALDATA!$G$2:$G$20871,PERSALDATA!$A$2:$A$20871,WORKING!A3,PERSALDATA!$D$2:$D$20871,WORKING!B3,PERSALDATA!$E$2:$E$20871,WORKING!C3,PERSALDATA!$F$2:$F$20871,"S&amp;W: BASIC SALARY (RES)")</f>
        <v>278</v>
      </c>
      <c r="AC3" s="2">
        <f>SUMIFS(PERSALDATA!$H$2:$H$20871,PERSALDATA!$A$2:$A$20871,WORKING!A3,PERSALDATA!$D$2:$D$20871,WORKING!B3,PERSALDATA!$E$2:$E$20871,WORKING!C3)</f>
        <v>6812078.4900000002</v>
      </c>
    </row>
    <row r="4" spans="1:29" x14ac:dyDescent="0.25">
      <c r="A4" s="2">
        <f>Results!$D$3</f>
        <v>21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0.9603595867301854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0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7.6940132387045136E-4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7.2346829747459824E-4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3.8147543648469673E-2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7.6000000000000012E-2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7.0000000000000007E-2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6.900000000000002E-2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6.7000000000000018E-2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1.4989147975537883E-2</v>
      </c>
      <c r="AB4" s="2">
        <f>SUMIFS(PERSALDATA!$G$2:$G$20871,PERSALDATA!$A$2:$A$20871,WORKING!A4,PERSALDATA!$D$2:$D$20871,WORKING!B4,PERSALDATA!$E$2:$E$20871,WORKING!C4,PERSALDATA!$F$2:$F$20871,"S&amp;W: BASIC SALARY (RES)")</f>
        <v>9</v>
      </c>
      <c r="AC4" s="2">
        <f>SUMIFS(PERSALDATA!$H$2:$H$20871,PERSALDATA!$A$2:$A$20871,WORKING!A4,PERSALDATA!$D$2:$D$20871,WORKING!B4,PERSALDATA!$E$2:$E$20871,WORKING!C4)</f>
        <v>756536.26</v>
      </c>
    </row>
    <row r="5" spans="1:29" x14ac:dyDescent="0.25">
      <c r="A5" s="2">
        <f>Results!$D$3</f>
        <v>21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0.697816677560128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4.7198542958592743E-2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6.991471183607903E-2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1.8075118078990874E-3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5.7395010921193708E-2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8.1244487384716554E-2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1.8866229559434167E-2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5.0297075086973341E-4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2.5253857221086917E-2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7.1490012053354715E-2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7.0161778045457118E-2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6.9161778045457104E-2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6.7161778045457116E-2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1.3082809597377862E-2</v>
      </c>
      <c r="AB5" s="2">
        <f>SUMIFS(PERSALDATA!$G$2:$G$20871,PERSALDATA!$A$2:$A$20871,WORKING!A5,PERSALDATA!$D$2:$D$20871,WORKING!B5,PERSALDATA!$E$2:$E$20871,WORKING!C5,PERSALDATA!$F$2:$F$20871,"S&amp;W: BASIC SALARY (RES)")</f>
        <v>48</v>
      </c>
      <c r="AC5" s="2">
        <f>SUMIFS(PERSALDATA!$H$2:$H$20871,PERSALDATA!$A$2:$A$20871,WORKING!A5,PERSALDATA!$D$2:$D$20871,WORKING!B5,PERSALDATA!$E$2:$E$20871,WORKING!C5)</f>
        <v>6166084.2000000011</v>
      </c>
    </row>
    <row r="6" spans="1:29" x14ac:dyDescent="0.25">
      <c r="A6" s="2">
        <f>Results!$D$3</f>
        <v>21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0.7032154480254631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4.9815113010604359E-2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6.4228370636550083E-2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2.937248462569161E-5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5.597696032788934E-2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7.8175756868046953E-2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1.1574726515960705E-2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4.3715207969407849E-4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3.6547100051165779E-2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7.1902321276212641E-2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7.0197370698552849E-2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6.9197370698552835E-2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6.7197370698552847E-2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1.3190362754337999E-2</v>
      </c>
      <c r="AB6" s="2">
        <f>SUMIFS(PERSALDATA!$G$2:$G$20871,PERSALDATA!$A$2:$A$20871,WORKING!A6,PERSALDATA!$D$2:$D$20871,WORKING!B6,PERSALDATA!$E$2:$E$20871,WORKING!C6,PERSALDATA!$F$2:$F$20871,"S&amp;W: BASIC SALARY (RES)")</f>
        <v>14</v>
      </c>
      <c r="AC6" s="2">
        <f>SUMIFS(PERSALDATA!$H$2:$H$20871,PERSALDATA!$A$2:$A$20871,WORKING!A6,PERSALDATA!$D$2:$D$20871,WORKING!B6,PERSALDATA!$E$2:$E$20871,WORKING!C6)</f>
        <v>2480212.38</v>
      </c>
    </row>
    <row r="7" spans="1:29" x14ac:dyDescent="0.25">
      <c r="A7" s="2">
        <f>Results!$D$3</f>
        <v>21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0.70245623913265387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4.5479204015644391E-2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5.058310196853421E-2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2.6867490441108647E-3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6.1226627412765848E-2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7.682057215788371E-2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1.5192016703702953E-2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3.6598937801358121E-4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4.1880058266660122E-2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2.0488264152669789E-3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7.9427248750462613E-4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1.2053459074369163E-4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3.4580842651496432E-4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7.3012857034170098E-2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7.0412568391506128E-2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6.9412568391506141E-2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6.7412568391506139E-2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1.3317364218610293E-2</v>
      </c>
      <c r="AB7" s="2">
        <f>SUMIFS(PERSALDATA!$G$2:$G$20871,PERSALDATA!$A$2:$A$20871,WORKING!A7,PERSALDATA!$D$2:$D$20871,WORKING!B7,PERSALDATA!$E$2:$E$20871,WORKING!C7,PERSALDATA!$F$2:$F$20871,"S&amp;W: BASIC SALARY (RES)")</f>
        <v>273</v>
      </c>
      <c r="AC7" s="2">
        <f>SUMIFS(PERSALDATA!$H$2:$H$20871,PERSALDATA!$A$2:$A$20871,WORKING!A7,PERSALDATA!$D$2:$D$20871,WORKING!B7,PERSALDATA!$E$2:$E$20871,WORKING!C7)</f>
        <v>55269445.550000012</v>
      </c>
    </row>
    <row r="8" spans="1:29" x14ac:dyDescent="0.25">
      <c r="A8" s="2">
        <f>Results!$D$3</f>
        <v>21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0.70053210933496501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5.663769406845099E-2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4.1119667103729142E-2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3.08843101931659E-3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5.7755233951926624E-2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8.7567367614733993E-2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2.5861657917130625E-2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2.7508956565869009E-4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1.1965849471045771E-2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1.1534864686608023E-2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3.4410118257210531E-3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2.2102344071369071E-4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7.3683478575443564E-2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7.0455131838241619E-2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6.9455131838241618E-2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6.7455131838241617E-2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1.3512750140680287E-2</v>
      </c>
      <c r="AB8" s="2">
        <f>SUMIFS(PERSALDATA!$G$2:$G$20871,PERSALDATA!$A$2:$A$20871,WORKING!A8,PERSALDATA!$D$2:$D$20871,WORKING!B8,PERSALDATA!$E$2:$E$20871,WORKING!C8,PERSALDATA!$F$2:$F$20871,"S&amp;W: BASIC SALARY (RES)")</f>
        <v>29</v>
      </c>
      <c r="AC8" s="2">
        <f>SUMIFS(PERSALDATA!$H$2:$H$20871,PERSALDATA!$A$2:$A$20871,WORKING!A8,PERSALDATA!$D$2:$D$20871,WORKING!B8,PERSALDATA!$E$2:$E$20871,WORKING!C8)</f>
        <v>12906232.889999999</v>
      </c>
    </row>
    <row r="9" spans="1:29" x14ac:dyDescent="0.25">
      <c r="A9" s="2">
        <f>Results!$D$3</f>
        <v>21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0.72998749174923694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5.5434522851768503E-2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3.7047414841346195E-2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4.8733150313773985E-3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4.4458665352986565E-2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8.8720359791739339E-2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1.8145272931057835E-2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2.4563799993580917E-4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1.8151545359483663E-2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1.8419023569197709E-3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8.5214330861281085E-4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2.7023234098094468E-5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2.1470519143713235E-4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7.380681778699949E-2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7.0296405831881348E-2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6.9296405831881333E-2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6.7296405831881345E-2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1.3773724227085971E-2</v>
      </c>
      <c r="AB9" s="2">
        <f>SUMIFS(PERSALDATA!$G$2:$G$20871,PERSALDATA!$A$2:$A$20871,WORKING!A9,PERSALDATA!$D$2:$D$20871,WORKING!B9,PERSALDATA!$E$2:$E$20871,WORKING!C9,PERSALDATA!$F$2:$F$20871,"S&amp;W: BASIC SALARY (RES)")</f>
        <v>195</v>
      </c>
      <c r="AC9" s="2">
        <f>SUMIFS(PERSALDATA!$H$2:$H$20871,PERSALDATA!$A$2:$A$20871,WORKING!A9,PERSALDATA!$D$2:$D$20871,WORKING!B9,PERSALDATA!$E$2:$E$20871,WORKING!C9)</f>
        <v>62538776.589999996</v>
      </c>
    </row>
    <row r="10" spans="1:29" x14ac:dyDescent="0.25">
      <c r="A10" s="2">
        <f>Results!$D$3</f>
        <v>21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0.75734080460696551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5.8082205353976832E-2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3.1996613319793692E-2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4.4338394480956554E-4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3.7356080042283468E-2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9.6487482763846957E-2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1.0748214823323349E-2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2.0699689695395017E-4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6.1274951859062576E-3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5.3055466116564483E-4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6.8016840097485313E-4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7.409124250828765E-2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7.0240375067436314E-2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6.9240375067436313E-2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6.7240375067436325E-2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1.3956604646114536E-2</v>
      </c>
      <c r="AB10" s="2">
        <f>SUMIFS(PERSALDATA!$G$2:$G$20871,PERSALDATA!$A$2:$A$20871,WORKING!A10,PERSALDATA!$D$2:$D$20871,WORKING!B10,PERSALDATA!$E$2:$E$20871,WORKING!C10,PERSALDATA!$F$2:$F$20871,"S&amp;W: BASIC SALARY (RES)")</f>
        <v>133</v>
      </c>
      <c r="AC10" s="2">
        <f>SUMIFS(PERSALDATA!$H$2:$H$20871,PERSALDATA!$A$2:$A$20871,WORKING!A10,PERSALDATA!$D$2:$D$20871,WORKING!B10,PERSALDATA!$E$2:$E$20871,WORKING!C10)</f>
        <v>51483573.699999996</v>
      </c>
    </row>
    <row r="11" spans="1:29" x14ac:dyDescent="0.25">
      <c r="A11" s="2">
        <f>Results!$D$3</f>
        <v>21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0.74783008510273474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5.5422897646689125E-2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2.5127430959941671E-2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9.8362912361649765E-4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3.609231186561003E-2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8.8194581266533928E-2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1.4214286483729063E-2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1.7162648394979238E-4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2.5832557272972932E-2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5.032459580770714E-3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6.7433529313072561E-4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4.2379892032088707E-4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7.4595607613162987E-2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7.0290110368384756E-2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6.9290110368384741E-2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6.729011036838474E-2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1.4079129460357479E-2</v>
      </c>
      <c r="AB11" s="2">
        <f>SUMIFS(PERSALDATA!$G$2:$G$20871,PERSALDATA!$A$2:$A$20871,WORKING!A11,PERSALDATA!$D$2:$D$20871,WORKING!B11,PERSALDATA!$E$2:$E$20871,WORKING!C11,PERSALDATA!$F$2:$F$20871,"S&amp;W: BASIC SALARY (RES)")</f>
        <v>111</v>
      </c>
      <c r="AC11" s="2">
        <f>SUMIFS(PERSALDATA!$H$2:$H$20871,PERSALDATA!$A$2:$A$20871,WORKING!A11,PERSALDATA!$D$2:$D$20871,WORKING!B11,PERSALDATA!$E$2:$E$20871,WORKING!C11)</f>
        <v>52687439.560000017</v>
      </c>
    </row>
    <row r="12" spans="1:29" x14ac:dyDescent="0.25">
      <c r="A12" s="2">
        <f>Results!$D$3</f>
        <v>21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0.75668665777084065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6.6075958865494486E-2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2.0405642501196135E-2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8.3778868884629588E-4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3.488972305269613E-2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9.6565005314687008E-2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1.4478422709762335E-2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1.3653682682191257E-4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5.7755207395829124E-3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2.5727716938584682E-3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1.5759718362135836E-3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7.493762729264683E-2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7.0319289420778489E-2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6.9319289420778474E-2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6.7319289420778472E-2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1.4168521464289286E-2</v>
      </c>
      <c r="AB12" s="2">
        <f>SUMIFS(PERSALDATA!$G$2:$G$20871,PERSALDATA!$A$2:$A$20871,WORKING!A12,PERSALDATA!$D$2:$D$20871,WORKING!B12,PERSALDATA!$E$2:$E$20871,WORKING!C12,PERSALDATA!$F$2:$F$20871,"S&amp;W: BASIC SALARY (RES)")</f>
        <v>32</v>
      </c>
      <c r="AC12" s="2">
        <f>SUMIFS(PERSALDATA!$H$2:$H$20871,PERSALDATA!$A$2:$A$20871,WORKING!A12,PERSALDATA!$D$2:$D$20871,WORKING!B12,PERSALDATA!$E$2:$E$20871,WORKING!C12)</f>
        <v>26301548.700000003</v>
      </c>
    </row>
    <row r="13" spans="1:29" x14ac:dyDescent="0.25">
      <c r="A13" s="2">
        <f>Results!$D$3</f>
        <v>21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0.70468022568898425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4.5296200414448561E-2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1.6309455753856131E-2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4.0486616416830448E-4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1.2857950160685199E-2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7.2795984985839127E-2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1.9009923975280476E-2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1.1265313215509196E-4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0.12034042979542529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6.980821979707179E-3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3.7557245687222583E-4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2.3123404124849678E-4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6.0468145132948825E-4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1.456079911429955E-2</v>
      </c>
      <c r="AB13" s="2">
        <f>SUMIFS(PERSALDATA!$G$2:$G$20871,PERSALDATA!$A$2:$A$20871,WORKING!A13,PERSALDATA!$D$2:$D$20871,WORKING!B13,PERSALDATA!$E$2:$E$20871,WORKING!C13,PERSALDATA!$F$2:$F$20871,"S&amp;W: BASIC SALARY (RES)")</f>
        <v>105</v>
      </c>
      <c r="AC13" s="2">
        <f>SUMIFS(PERSALDATA!$H$2:$H$20871,PERSALDATA!$A$2:$A$20871,WORKING!A13,PERSALDATA!$D$2:$D$20871,WORKING!B13,PERSALDATA!$E$2:$E$20871,WORKING!C13)</f>
        <v>70949025.980000049</v>
      </c>
    </row>
    <row r="14" spans="1:29" x14ac:dyDescent="0.25">
      <c r="A14" s="2">
        <f>Results!$D$3</f>
        <v>21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0.71388667163213337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4.0012568242172607E-2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1.4730786803797174E-2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1.2193709298969927E-4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1.4050030241307094E-2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8.7531366298283911E-2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1.305490090345649E-2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9.3375396223393254E-5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0.11073576481078011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4.9970673663954487E-3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7.855312124606075E-4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1.4566887113380084E-2</v>
      </c>
      <c r="AB14" s="2">
        <f>SUMIFS(PERSALDATA!$G$2:$G$20871,PERSALDATA!$A$2:$A$20871,WORKING!A14,PERSALDATA!$D$2:$D$20871,WORKING!B14,PERSALDATA!$E$2:$E$20871,WORKING!C14,PERSALDATA!$F$2:$F$20871,"S&amp;W: BASIC SALARY (RES)")</f>
        <v>37</v>
      </c>
      <c r="AC14" s="2">
        <f>SUMIFS(PERSALDATA!$H$2:$H$20871,PERSALDATA!$A$2:$A$20871,WORKING!A14,PERSALDATA!$D$2:$D$20871,WORKING!B14,PERSALDATA!$E$2:$E$20871,WORKING!C14)</f>
        <v>33589040.870000005</v>
      </c>
    </row>
    <row r="15" spans="1:29" x14ac:dyDescent="0.25">
      <c r="A15" s="2">
        <f>Results!$D$3</f>
        <v>21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0.6455697499487516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4.1026333396799688E-2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3.1705756520982779E-2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1.1332207176724778E-2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7.4021352782871877E-2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8.1439901917769748E-3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7.4997280210663768E-5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0.18355478050190061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4.3054163856077726E-3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2.6541581437323797E-4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1.4353305585331226E-2</v>
      </c>
      <c r="AB15" s="2">
        <f>SUMIFS(PERSALDATA!$G$2:$G$20871,PERSALDATA!$A$2:$A$20871,WORKING!A15,PERSALDATA!$D$2:$D$20871,WORKING!B15,PERSALDATA!$E$2:$E$20871,WORKING!C15,PERSALDATA!$F$2:$F$20871,"S&amp;W: BASIC SALARY (RES)")</f>
        <v>71</v>
      </c>
      <c r="AC15" s="2">
        <f>SUMIFS(PERSALDATA!$H$2:$H$20871,PERSALDATA!$A$2:$A$20871,WORKING!A15,PERSALDATA!$D$2:$D$20871,WORKING!B15,PERSALDATA!$E$2:$E$20871,WORKING!C15)</f>
        <v>66930827.170000024</v>
      </c>
    </row>
    <row r="16" spans="1:29" x14ac:dyDescent="0.25">
      <c r="A16" s="2">
        <f>Results!$D$3</f>
        <v>21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0.63567500719090519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3.2240029607627008E-2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9.5393638367917161E-3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1.1389039899691986E-2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6.8050596735837382E-2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7.1319854453045436E-3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6.3424524532713875E-5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0.22610512440776398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8.7846684217518858E-3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1.0207599297933528E-3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1.4685122576084751E-2</v>
      </c>
      <c r="AB16" s="2">
        <f>SUMIFS(PERSALDATA!$G$2:$G$20871,PERSALDATA!$A$2:$A$20871,WORKING!A16,PERSALDATA!$D$2:$D$20871,WORKING!B16,PERSALDATA!$E$2:$E$20871,WORKING!C16,PERSALDATA!$F$2:$F$20871,"S&amp;W: BASIC SALARY (RES)")</f>
        <v>24</v>
      </c>
      <c r="AC16" s="2">
        <f>SUMIFS(PERSALDATA!$H$2:$H$20871,PERSALDATA!$A$2:$A$20871,WORKING!A16,PERSALDATA!$D$2:$D$20871,WORKING!B16,PERSALDATA!$E$2:$E$20871,WORKING!C16)</f>
        <v>26104570.940000005</v>
      </c>
    </row>
    <row r="17" spans="1:29" x14ac:dyDescent="0.25">
      <c r="A17" s="2">
        <f>Results!$D$3</f>
        <v>21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0.66530545629288929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0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6.9601382631465977E-3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5.9456476102897782E-2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5.2471042337256029E-5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0.26822545829872907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1.4894810860417742E-2</v>
      </c>
      <c r="AB17" s="2">
        <f>SUMIFS(PERSALDATA!$G$2:$G$20871,PERSALDATA!$A$2:$A$20871,WORKING!A17,PERSALDATA!$D$2:$D$20871,WORKING!B17,PERSALDATA!$E$2:$E$20871,WORKING!C17,PERSALDATA!$F$2:$F$20871,"S&amp;W: BASIC SALARY (RES)")</f>
        <v>3</v>
      </c>
      <c r="AC17" s="2">
        <f>SUMIFS(PERSALDATA!$H$2:$H$20871,PERSALDATA!$A$2:$A$20871,WORKING!A17,PERSALDATA!$D$2:$D$20871,WORKING!B17,PERSALDATA!$E$2:$E$20871,WORKING!C17)</f>
        <v>3999920.54</v>
      </c>
    </row>
    <row r="18" spans="1:29" x14ac:dyDescent="0.25">
      <c r="A18" s="2">
        <f>Results!$D$3</f>
        <v>21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0.61184781964939583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2.5313288748573498E-2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2.9870050955994134E-3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6.9940795925196712E-4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7.9223281601456988E-2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1.1597122873830965E-5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0.27991759982284847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1.4944529847334121E-2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7540663.4000000004</v>
      </c>
    </row>
    <row r="19" spans="1:29" x14ac:dyDescent="0.25">
      <c r="A19" s="2">
        <f>Results!$D$3</f>
        <v>21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21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3.3204778252767984E-3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0.27506494538573739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0.72161368221915767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8.9456982814393875E-7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6.900000000000002E-2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1.4999986581452577E-2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14330910.340000005</v>
      </c>
    </row>
    <row r="21" spans="1:29" x14ac:dyDescent="0.25">
      <c r="A21" s="2">
        <f>Results!$D$3</f>
        <v>21</v>
      </c>
      <c r="B21" s="2">
        <v>2</v>
      </c>
      <c r="C21" s="2">
        <v>2</v>
      </c>
      <c r="D21" s="62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>0.88244835014458289</v>
      </c>
      <c r="E21" s="62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>1.3456589918685688E-2</v>
      </c>
      <c r="F21" s="62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>2.644308062623825E-2</v>
      </c>
      <c r="G21" s="69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>2.291329662764414E-3</v>
      </c>
      <c r="H21" s="62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>5.1088399034900998E-2</v>
      </c>
      <c r="I21" s="62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>2.1153197436710597E-2</v>
      </c>
      <c r="J21" s="62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>0</v>
      </c>
      <c r="K21" s="62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>5.2458297517343625E-4</v>
      </c>
      <c r="L21" s="62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>0</v>
      </c>
      <c r="M21" s="62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>2.5944702009435398E-3</v>
      </c>
      <c r="N21" s="62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>0</v>
      </c>
      <c r="O21" s="62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>0</v>
      </c>
      <c r="P21" s="62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>0</v>
      </c>
      <c r="Q21" s="62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>0</v>
      </c>
      <c r="R21" s="62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>0</v>
      </c>
      <c r="S21" s="62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>0</v>
      </c>
      <c r="T21" s="62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>0</v>
      </c>
      <c r="U21" s="62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>0</v>
      </c>
      <c r="V21" s="62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>0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7.4705563458894494E-2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7.0501895179261115E-2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6.9501895179261114E-2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6.7501895179261112E-2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1.3829159060455308E-2</v>
      </c>
      <c r="AB21" s="2">
        <f>SUMIFS(PERSALDATA!$G$2:$G$20871,PERSALDATA!$A$2:$A$20871,WORKING!A21,PERSALDATA!$D$2:$D$20871,WORKING!B21,PERSALDATA!$E$2:$E$20871,WORKING!C21,PERSALDATA!$F$2:$F$20871,"S&amp;W: BASIC SALARY (RES)")</f>
        <v>6</v>
      </c>
      <c r="AC21" s="2">
        <f>SUMIFS(PERSALDATA!$H$2:$H$20871,PERSALDATA!$A$2:$A$20871,WORKING!A21,PERSALDATA!$D$2:$D$20871,WORKING!B21,PERSALDATA!$E$2:$E$20871,WORKING!C21)</f>
        <v>544565.90000000014</v>
      </c>
    </row>
    <row r="22" spans="1:29" x14ac:dyDescent="0.25">
      <c r="A22" s="2">
        <f>Results!$D$3</f>
        <v>21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0.69754275169713686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5.3464864289984482E-2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7.8328043965195479E-2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1.5468671287189692E-3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6.9393956712585095E-2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9.0030187279968255E-2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5.3947027820722996E-3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5.0027778892746918E-4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2.1843045632525325E-3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0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1.6140437921586953E-3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7.1018584052621334E-2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7.0257628911036846E-2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6.9257628911036831E-2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6.7257628911036843E-2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1.277666582299938E-2</v>
      </c>
      <c r="AB22" s="2">
        <f>SUMIFS(PERSALDATA!$G$2:$G$20871,PERSALDATA!$A$2:$A$20871,WORKING!A22,PERSALDATA!$D$2:$D$20871,WORKING!B22,PERSALDATA!$E$2:$E$20871,WORKING!C22,PERSALDATA!$F$2:$F$20871,"S&amp;W: BASIC SALARY (RES)")</f>
        <v>558</v>
      </c>
      <c r="AC22" s="2">
        <f>SUMIFS(PERSALDATA!$H$2:$H$20871,PERSALDATA!$A$2:$A$20871,WORKING!A22,PERSALDATA!$D$2:$D$20871,WORKING!B22,PERSALDATA!$E$2:$E$20871,WORKING!C22)</f>
        <v>77949093.209999993</v>
      </c>
    </row>
    <row r="23" spans="1:29" x14ac:dyDescent="0.25">
      <c r="A23" s="2">
        <f>Results!$D$3</f>
        <v>21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0.71143495840518367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5.3793691863022797E-2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5.7059299241945624E-2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2.4485197137174972E-4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7.204417528536694E-2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9.015614332815676E-2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3.6554721456167716E-3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4.2379232298356896E-4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7.5512447502736101E-3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8.6199075970571021E-4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2.6032250634295344E-3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1.7115486294324848E-4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7.2672111711607243E-2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7.0510069636861072E-2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6.9510069636861072E-2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6.7510069636861042E-2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1.3057090997245557E-2</v>
      </c>
      <c r="AB23" s="2">
        <f>SUMIFS(PERSALDATA!$G$2:$G$20871,PERSALDATA!$A$2:$A$20871,WORKING!A23,PERSALDATA!$D$2:$D$20871,WORKING!B23,PERSALDATA!$E$2:$E$20871,WORKING!C23,PERSALDATA!$F$2:$F$20871,"S&amp;W: BASIC SALARY (RES)")</f>
        <v>99</v>
      </c>
      <c r="AC23" s="2">
        <f>SUMIFS(PERSALDATA!$H$2:$H$20871,PERSALDATA!$A$2:$A$20871,WORKING!A23,PERSALDATA!$D$2:$D$20871,WORKING!B23,PERSALDATA!$E$2:$E$20871,WORKING!C23)</f>
        <v>37334843.370000005</v>
      </c>
    </row>
    <row r="24" spans="1:29" x14ac:dyDescent="0.25">
      <c r="A24" s="2">
        <f>Results!$D$3</f>
        <v>21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0.71123405729632028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5.4412109102647405E-2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5.6484183764370484E-2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1.0795071626789024E-3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6.8956126709623644E-2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8.816265157252004E-2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5.8544052837332583E-3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3.6519242050861059E-4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1.7437248094253924E-5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1.2660540529329386E-2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2.6862699225866981E-4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4.6464031724808018E-4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3.7605383261691843E-5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2.9162174051753575E-6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7.2672587807842554E-2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7.0469500063000665E-2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6.9469500063000664E-2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6.7469500063000634E-2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1.3112917456582456E-2</v>
      </c>
      <c r="AB24" s="2">
        <f>SUMIFS(PERSALDATA!$G$2:$G$20871,PERSALDATA!$A$2:$A$20871,WORKING!A24,PERSALDATA!$D$2:$D$20871,WORKING!B24,PERSALDATA!$E$2:$E$20871,WORKING!C24,PERSALDATA!$F$2:$F$20871,"S&amp;W: BASIC SALARY (RES)")</f>
        <v>8975</v>
      </c>
      <c r="AC24" s="2">
        <f>SUMIFS(PERSALDATA!$H$2:$H$20871,PERSALDATA!$A$2:$A$20871,WORKING!A24,PERSALDATA!$D$2:$D$20871,WORKING!B24,PERSALDATA!$E$2:$E$20871,WORKING!C24)</f>
        <v>1697239715.8100004</v>
      </c>
    </row>
    <row r="25" spans="1:29" x14ac:dyDescent="0.25">
      <c r="A25" s="2">
        <f>Results!$D$3</f>
        <v>21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0.72717540106133116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6.0588213941497486E-2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4.2982755931298071E-2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1.0379489102300533E-3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5.2362960741760375E-2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9.1365576687008065E-2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1.0509397246205624E-2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2.7434961457379302E-4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1.3507716014858392E-4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9.3353778130935428E-3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3.6974074799804823E-4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3.8632001448553957E-3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7.3466391999606015E-2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7.0355616851813449E-2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6.9355616851813448E-2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6.7355616851813432E-2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1.356569900568552E-2</v>
      </c>
      <c r="AB25" s="2">
        <f>SUMIFS(PERSALDATA!$G$2:$G$20871,PERSALDATA!$A$2:$A$20871,WORKING!A25,PERSALDATA!$D$2:$D$20871,WORKING!B25,PERSALDATA!$E$2:$E$20871,WORKING!C25,PERSALDATA!$F$2:$F$20871,"S&amp;W: BASIC SALARY (RES)")</f>
        <v>857</v>
      </c>
      <c r="AC25" s="2">
        <f>SUMIFS(PERSALDATA!$H$2:$H$20871,PERSALDATA!$A$2:$A$20871,WORKING!A25,PERSALDATA!$D$2:$D$20871,WORKING!B25,PERSALDATA!$E$2:$E$20871,WORKING!C25)</f>
        <v>226060423.28999999</v>
      </c>
    </row>
    <row r="26" spans="1:29" x14ac:dyDescent="0.25">
      <c r="A26" s="2">
        <f>Results!$D$3</f>
        <v>21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0.7352388929926017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5.4515609346803703E-2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3.4941103369638384E-2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2.1065177468099269E-3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4.6483858005512226E-2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8.5331137174160673E-2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8.9616130984748708E-3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2.4309685365856494E-4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9.0562720152522581E-5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2.9282329028356611E-2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1.0956430027111174E-3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6.4142652439154254E-5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1.5227769339200754E-3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5.2800277916466874E-5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6.9916796844108952E-5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7.3995250155984668E-2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7.0347846836386313E-2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6.9347846836386298E-2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6.7347846836386283E-2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1.3774979126567862E-2</v>
      </c>
      <c r="AB26" s="2">
        <f>SUMIFS(PERSALDATA!$G$2:$G$20871,PERSALDATA!$A$2:$A$20871,WORKING!A26,PERSALDATA!$D$2:$D$20871,WORKING!B26,PERSALDATA!$E$2:$E$20871,WORKING!C26,PERSALDATA!$F$2:$F$20871,"S&amp;W: BASIC SALARY (RES)")</f>
        <v>1385</v>
      </c>
      <c r="AC26" s="2">
        <f>SUMIFS(PERSALDATA!$H$2:$H$20871,PERSALDATA!$A$2:$A$20871,WORKING!A26,PERSALDATA!$D$2:$D$20871,WORKING!B26,PERSALDATA!$E$2:$E$20871,WORKING!C26)</f>
        <v>411967528.54999995</v>
      </c>
    </row>
    <row r="27" spans="1:29" x14ac:dyDescent="0.25">
      <c r="A27" s="2">
        <f>Results!$D$3</f>
        <v>21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0.75059654064131864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6.1118214753997709E-2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3.1122535706349663E-2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7.8665048275030876E-4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4.1451507656467004E-2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9.7266539382947645E-2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1.106018595301214E-2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2.0083311717946668E-4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1.0058205921169305E-3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2.9443179376091471E-3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2.4376980382833924E-3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9.1557379681415053E-6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7.4215008393507989E-2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7.0310547257783518E-2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6.9310547257783517E-2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6.7310547257783529E-2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1.390837685280006E-2</v>
      </c>
      <c r="AB27" s="2">
        <f>SUMIFS(PERSALDATA!$G$2:$G$20871,PERSALDATA!$A$2:$A$20871,WORKING!A27,PERSALDATA!$D$2:$D$20871,WORKING!B27,PERSALDATA!$E$2:$E$20871,WORKING!C27,PERSALDATA!$F$2:$F$20871,"S&amp;W: BASIC SALARY (RES)")</f>
        <v>999</v>
      </c>
      <c r="AC27" s="2">
        <f>SUMIFS(PERSALDATA!$H$2:$H$20871,PERSALDATA!$A$2:$A$20871,WORKING!A27,PERSALDATA!$D$2:$D$20871,WORKING!B27,PERSALDATA!$E$2:$E$20871,WORKING!C27)</f>
        <v>315485219.21999997</v>
      </c>
    </row>
    <row r="28" spans="1:29" x14ac:dyDescent="0.25">
      <c r="A28" s="2">
        <f>Results!$D$3</f>
        <v>21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0.75354512593070289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5.9985196509748234E-2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2.6543598379978075E-2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6.8079930249764862E-4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3.8500864146034985E-2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9.4045097303606148E-2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1.266916380153366E-2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1.6957199407435393E-4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1.1022541991677584E-2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2.2133714814439528E-3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5.2829586438536702E-4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9.6373294317279621E-5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7.4521698621166158E-2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7.0312076978390772E-2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6.9312076978390771E-2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6.7312076978390742E-2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1.402178948219869E-2</v>
      </c>
      <c r="AB28" s="2">
        <f>SUMIFS(PERSALDATA!$G$2:$G$20871,PERSALDATA!$A$2:$A$20871,WORKING!A28,PERSALDATA!$D$2:$D$20871,WORKING!B28,PERSALDATA!$E$2:$E$20871,WORKING!C28,PERSALDATA!$F$2:$F$20871,"S&amp;W: BASIC SALARY (RES)")</f>
        <v>339</v>
      </c>
      <c r="AC28" s="2">
        <f>SUMIFS(PERSALDATA!$H$2:$H$20871,PERSALDATA!$A$2:$A$20871,WORKING!A28,PERSALDATA!$D$2:$D$20871,WORKING!B28,PERSALDATA!$E$2:$E$20871,WORKING!C28)</f>
        <v>133535022.23999999</v>
      </c>
    </row>
    <row r="29" spans="1:29" x14ac:dyDescent="0.25">
      <c r="A29" s="2">
        <f>Results!$D$3</f>
        <v>21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0.76700092002321174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6.3138493006923188E-2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2.2631336513659471E-2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3.6574324253561244E-4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3.2297287725392233E-2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9.9352426927572471E-2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9.6730468164069206E-3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1.3661183366392009E-4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1.0446092107915276E-3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3.4329588409703253E-3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9.2656585887266826E-4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7.47321804531174E-2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7.0258145950744297E-2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6.9258145950744282E-2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6.725814595074428E-2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1.417402145890927E-2</v>
      </c>
      <c r="AB29" s="2">
        <f>SUMIFS(PERSALDATA!$G$2:$G$20871,PERSALDATA!$A$2:$A$20871,WORKING!A29,PERSALDATA!$D$2:$D$20871,WORKING!B29,PERSALDATA!$E$2:$E$20871,WORKING!C29,PERSALDATA!$F$2:$F$20871,"S&amp;W: BASIC SALARY (RES)")</f>
        <v>300</v>
      </c>
      <c r="AC29" s="2">
        <f>SUMIFS(PERSALDATA!$H$2:$H$20871,PERSALDATA!$A$2:$A$20871,WORKING!A29,PERSALDATA!$D$2:$D$20871,WORKING!B29,PERSALDATA!$E$2:$E$20871,WORKING!C29)</f>
        <v>148528567.81</v>
      </c>
    </row>
    <row r="30" spans="1:29" x14ac:dyDescent="0.25">
      <c r="A30" s="2">
        <f>Results!$D$3</f>
        <v>21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0.70365643285786317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5.2486476137714226E-2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1.4035441621014819E-2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6.6219327070151504E-5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1.5112813908687826E-2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9.0881934371853212E-2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1.2595414307534322E-2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1.1104573568329615E-4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0.10391483883020176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6.6208679913888615E-3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5.1851491098816411E-4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1.4561110481019207E-2</v>
      </c>
      <c r="AB30" s="2">
        <f>SUMIFS(PERSALDATA!$G$2:$G$20871,PERSALDATA!$A$2:$A$20871,WORKING!A30,PERSALDATA!$D$2:$D$20871,WORKING!B30,PERSALDATA!$E$2:$E$20871,WORKING!C30,PERSALDATA!$F$2:$F$20871,"S&amp;W: BASIC SALARY (RES)")</f>
        <v>210</v>
      </c>
      <c r="AC30" s="2">
        <f>SUMIFS(PERSALDATA!$H$2:$H$20871,PERSALDATA!$A$2:$A$20871,WORKING!A30,PERSALDATA!$D$2:$D$20871,WORKING!B30,PERSALDATA!$E$2:$E$20871,WORKING!C30)</f>
        <v>131330842.29000007</v>
      </c>
    </row>
    <row r="31" spans="1:29" x14ac:dyDescent="0.25">
      <c r="A31" s="2">
        <f>Results!$D$3</f>
        <v>21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0.69137148122857928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5.1224608632993301E-2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1.2991245354476965E-2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1.4169309838439241E-2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8.8593312121545517E-2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1.6082973175195674E-2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8.6761660625965788E-5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0.1221774410792332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3.0797744663604867E-3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2.2309244255043153E-4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1.4591290247196865E-2</v>
      </c>
      <c r="AB31" s="2">
        <f>SUMIFS(PERSALDATA!$G$2:$G$20871,PERSALDATA!$A$2:$A$20871,WORKING!A31,PERSALDATA!$D$2:$D$20871,WORKING!B31,PERSALDATA!$E$2:$E$20871,WORKING!C31,PERSALDATA!$F$2:$F$20871,"S&amp;W: BASIC SALARY (RES)")</f>
        <v>104</v>
      </c>
      <c r="AC31" s="2">
        <f>SUMIFS(PERSALDATA!$H$2:$H$20871,PERSALDATA!$A$2:$A$20871,WORKING!A31,PERSALDATA!$D$2:$D$20871,WORKING!B31,PERSALDATA!$E$2:$E$20871,WORKING!C31)</f>
        <v>79626184.539999962</v>
      </c>
    </row>
    <row r="32" spans="1:29" x14ac:dyDescent="0.25">
      <c r="A32" s="2">
        <f>Results!$D$3</f>
        <v>21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0.65915302396553344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4.4700178101752114E-2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2.9873636313184876E-2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1.6626469958090827E-2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8.4761453240158408E-2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6.9272237477483465E-3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7.6440232762412826E-5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0.15532083453463758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2.5607399061320034E-3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1.4301351802439428E-2</v>
      </c>
      <c r="AB32" s="2">
        <f>SUMIFS(PERSALDATA!$G$2:$G$20871,PERSALDATA!$A$2:$A$20871,WORKING!A32,PERSALDATA!$D$2:$D$20871,WORKING!B32,PERSALDATA!$E$2:$E$20871,WORKING!C32,PERSALDATA!$F$2:$F$20871,"S&amp;W: BASIC SALARY (RES)")</f>
        <v>55</v>
      </c>
      <c r="AC32" s="2">
        <f>SUMIFS(PERSALDATA!$H$2:$H$20871,PERSALDATA!$A$2:$A$20871,WORKING!A32,PERSALDATA!$D$2:$D$20871,WORKING!B32,PERSALDATA!$E$2:$E$20871,WORKING!C32)</f>
        <v>49420833.289999999</v>
      </c>
    </row>
    <row r="33" spans="1:29" x14ac:dyDescent="0.25">
      <c r="A33" s="2">
        <f>Results!$D$3</f>
        <v>21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0.66611320546707309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5.8340977798677834E-2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1.1305783280889247E-3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1.5736583526630973E-2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8.3563285617522881E-2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6.2095109213159276E-5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0.17505327415279318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1.4746061145541004E-2</v>
      </c>
      <c r="AB33" s="2">
        <f>SUMIFS(PERSALDATA!$G$2:$G$20871,PERSALDATA!$A$2:$A$20871,WORKING!A33,PERSALDATA!$D$2:$D$20871,WORKING!B33,PERSALDATA!$E$2:$E$20871,WORKING!C33,PERSALDATA!$F$2:$F$20871,"S&amp;W: BASIC SALARY (RES)")</f>
        <v>21</v>
      </c>
      <c r="AC33" s="2">
        <f>SUMIFS(PERSALDATA!$H$2:$H$20871,PERSALDATA!$A$2:$A$20871,WORKING!A33,PERSALDATA!$D$2:$D$20871,WORKING!B33,PERSALDATA!$E$2:$E$20871,WORKING!C33)</f>
        <v>23472057.919999998</v>
      </c>
    </row>
    <row r="34" spans="1:29" x14ac:dyDescent="0.25">
      <c r="A34" s="2">
        <f>Results!$D$3</f>
        <v>21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0.69461563972730733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6.5525229664929741E-2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1.3289972855063533E-2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9.0299885334547511E-2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5.1516317649614619E-5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0.1362177561005023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1.4799877662409302E-2</v>
      </c>
      <c r="AB34" s="2">
        <f>SUMIFS(PERSALDATA!$G$2:$G$20871,PERSALDATA!$A$2:$A$20871,WORKING!A34,PERSALDATA!$D$2:$D$20871,WORKING!B34,PERSALDATA!$E$2:$E$20871,WORKING!C34,PERSALDATA!$F$2:$F$20871,"S&amp;W: BASIC SALARY (RES)")</f>
        <v>4</v>
      </c>
      <c r="AC34" s="2">
        <f>SUMIFS(PERSALDATA!$H$2:$H$20871,PERSALDATA!$A$2:$A$20871,WORKING!A34,PERSALDATA!$D$2:$D$20871,WORKING!B34,PERSALDATA!$E$2:$E$20871,WORKING!C34)</f>
        <v>6111073.4300000006</v>
      </c>
    </row>
    <row r="35" spans="1:29" x14ac:dyDescent="0.25">
      <c r="A35" s="2">
        <f>Results!$D$3</f>
        <v>21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21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21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1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6</v>
      </c>
      <c r="AC37" s="2">
        <f>SUMIFS(PERSALDATA!$H$2:$H$20871,PERSALDATA!$A$2:$A$20871,WORKING!A37,PERSALDATA!$D$2:$D$20871,WORKING!B37,PERSALDATA!$E$2:$E$20871,WORKING!C37)</f>
        <v>34500</v>
      </c>
    </row>
    <row r="38" spans="1:29" x14ac:dyDescent="0.25">
      <c r="A38" s="2">
        <f>Results!$D$3</f>
        <v>21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0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1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0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0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0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0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0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0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0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0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0.06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5.8999999999999997E-2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5.7000000000000002E-2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1800</v>
      </c>
    </row>
    <row r="39" spans="1:29" x14ac:dyDescent="0.25">
      <c r="A39" s="2">
        <f>Results!$D$3</f>
        <v>21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0.68787808880120627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5.0913123573866667E-2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7.5849405261327815E-2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2.6640204761764279E-4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8.5798474986840415E-2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8.9116992593763336E-2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8.4931450735834697E-3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4.8526451806388184E-4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1.1991031437305079E-3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0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0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7.1436623849954861E-2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7.0528483072189341E-2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6.9528483072189326E-2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6.7528483072189338E-2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1.2568002828506517E-2</v>
      </c>
      <c r="AB39" s="2">
        <f>SUMIFS(PERSALDATA!$G$2:$G$20871,PERSALDATA!$A$2:$A$20871,WORKING!A39,PERSALDATA!$D$2:$D$20871,WORKING!B39,PERSALDATA!$E$2:$E$20871,WORKING!C39,PERSALDATA!$F$2:$F$20871,"S&amp;W: BASIC SALARY (RES)")</f>
        <v>70</v>
      </c>
      <c r="AC39" s="2">
        <f>SUMIFS(PERSALDATA!$H$2:$H$20871,PERSALDATA!$A$2:$A$20871,WORKING!A39,PERSALDATA!$D$2:$D$20871,WORKING!B39,PERSALDATA!$E$2:$E$20871,WORKING!C39)</f>
        <v>9611149.8499999996</v>
      </c>
    </row>
    <row r="40" spans="1:29" x14ac:dyDescent="0.25">
      <c r="A40" s="2">
        <f>Results!$D$3</f>
        <v>21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0.70404263037358539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5.187172688881686E-2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6.604960973525946E-2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6.6673599179307898E-4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7.8775959206776228E-2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9.1617006393021949E-2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6.5572322172003199E-3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4.1909919354657453E-4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7.2083093089015129E-2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7.0521143290749044E-2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6.9521143290749057E-2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6.7521143290749056E-2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1.2821329977966263E-2</v>
      </c>
      <c r="AB40" s="2">
        <f>SUMIFS(PERSALDATA!$G$2:$G$20871,PERSALDATA!$A$2:$A$20871,WORKING!A40,PERSALDATA!$D$2:$D$20871,WORKING!B40,PERSALDATA!$E$2:$E$20871,WORKING!C40,PERSALDATA!$F$2:$F$20871,"S&amp;W: BASIC SALARY (RES)")</f>
        <v>81</v>
      </c>
      <c r="AC40" s="2">
        <f>SUMIFS(PERSALDATA!$H$2:$H$20871,PERSALDATA!$A$2:$A$20871,WORKING!A40,PERSALDATA!$D$2:$D$20871,WORKING!B40,PERSALDATA!$E$2:$E$20871,WORKING!C40)</f>
        <v>14216586.650000006</v>
      </c>
    </row>
    <row r="41" spans="1:29" x14ac:dyDescent="0.25">
      <c r="A41" s="2">
        <f>Results!$D$3</f>
        <v>21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0.7094151593294189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5.4793289474299858E-2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5.9779833461785385E-2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9.7566100967571862E-4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7.2071870488341572E-2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9.1845346484169019E-2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7.977780514441658E-3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3.6475655602946991E-4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1.6307615267611862E-3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1.1358303403643671E-3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9.7108147128249799E-6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7.2465738843741079E-2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7.0483279722707293E-2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6.9483279722707278E-2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6.7483279722707276E-2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1.3016753092407652E-2</v>
      </c>
      <c r="AB41" s="2">
        <f>SUMIFS(PERSALDATA!$G$2:$G$20871,PERSALDATA!$A$2:$A$20871,WORKING!A41,PERSALDATA!$D$2:$D$20871,WORKING!B41,PERSALDATA!$E$2:$E$20871,WORKING!C41,PERSALDATA!$F$2:$F$20871,"S&amp;W: BASIC SALARY (RES)")</f>
        <v>731</v>
      </c>
      <c r="AC41" s="2">
        <f>SUMIFS(PERSALDATA!$H$2:$H$20871,PERSALDATA!$A$2:$A$20871,WORKING!A41,PERSALDATA!$D$2:$D$20871,WORKING!B41,PERSALDATA!$E$2:$E$20871,WORKING!C41)</f>
        <v>132037325.17999998</v>
      </c>
    </row>
    <row r="42" spans="1:29" x14ac:dyDescent="0.25">
      <c r="A42" s="2">
        <f>Results!$D$3</f>
        <v>21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0.74413261532829389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5.7029826271405529E-2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4.0554655382526318E-2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3.3001507455264484E-4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5.161447532935555E-2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9.6905343535123561E-2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6.0291871717252478E-3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2.8581175328756071E-4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1.3403299850367845E-5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3.1046668538792718E-3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7.3640448845538956E-2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7.0368670576115067E-2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6.936867057611508E-2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6.7368670576115078E-2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1.3613175863022456E-2</v>
      </c>
      <c r="AB42" s="2">
        <f>SUMIFS(PERSALDATA!$G$2:$G$20871,PERSALDATA!$A$2:$A$20871,WORKING!A42,PERSALDATA!$D$2:$D$20871,WORKING!B42,PERSALDATA!$E$2:$E$20871,WORKING!C42,PERSALDATA!$F$2:$F$20871,"S&amp;W: BASIC SALARY (RES)")</f>
        <v>136</v>
      </c>
      <c r="AC42" s="2">
        <f>SUMIFS(PERSALDATA!$H$2:$H$20871,PERSALDATA!$A$2:$A$20871,WORKING!A42,PERSALDATA!$D$2:$D$20871,WORKING!B42,PERSALDATA!$E$2:$E$20871,WORKING!C42)</f>
        <v>32718808.419999991</v>
      </c>
    </row>
    <row r="43" spans="1:29" x14ac:dyDescent="0.25">
      <c r="A43" s="2">
        <f>Results!$D$3</f>
        <v>21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0.75522173783451829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5.6041094806597372E-2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3.5734662065953354E-2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8.175655772713758E-4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4.3057577003864277E-2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9.8111287256403501E-2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8.9392014634394456E-3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2.4257933022632305E-4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6.4030184463855519E-4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1.0460062483804416E-3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1.4798656870708665E-4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7.3886971761041656E-2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7.0288517034398423E-2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6.9288517034398409E-2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6.7288517034398448E-2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1.381447772399934E-2</v>
      </c>
      <c r="AB43" s="2">
        <f>SUMIFS(PERSALDATA!$G$2:$G$20871,PERSALDATA!$A$2:$A$20871,WORKING!A43,PERSALDATA!$D$2:$D$20871,WORKING!B43,PERSALDATA!$E$2:$E$20871,WORKING!C43,PERSALDATA!$F$2:$F$20871,"S&amp;W: BASIC SALARY (RES)")</f>
        <v>269</v>
      </c>
      <c r="AC43" s="2">
        <f>SUMIFS(PERSALDATA!$H$2:$H$20871,PERSALDATA!$A$2:$A$20871,WORKING!A43,PERSALDATA!$D$2:$D$20871,WORKING!B43,PERSALDATA!$E$2:$E$20871,WORKING!C43)</f>
        <v>72291155.159999996</v>
      </c>
    </row>
    <row r="44" spans="1:29" x14ac:dyDescent="0.25">
      <c r="A44" s="2">
        <f>Results!$D$3</f>
        <v>21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0.74694243697399632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6.3449763829206626E-2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3.2151991620518044E-2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1.1411477801431256E-4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3.828470599488553E-2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9.7101965324524031E-2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1.7209411953730238E-2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1.9864108187174788E-4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3.2886560855819908E-3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1.2583123576710346E-3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7.409243452076901E-2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7.0252750673718112E-2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6.9252750673718111E-2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6.7252750673718109E-2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1.3940469919540868E-2</v>
      </c>
      <c r="AB44" s="2">
        <f>SUMIFS(PERSALDATA!$G$2:$G$20871,PERSALDATA!$A$2:$A$20871,WORKING!A44,PERSALDATA!$D$2:$D$20871,WORKING!B44,PERSALDATA!$E$2:$E$20871,WORKING!C44,PERSALDATA!$F$2:$F$20871,"S&amp;W: BASIC SALARY (RES)")</f>
        <v>82</v>
      </c>
      <c r="AC44" s="2">
        <f>SUMIFS(PERSALDATA!$H$2:$H$20871,PERSALDATA!$A$2:$A$20871,WORKING!A44,PERSALDATA!$D$2:$D$20871,WORKING!B44,PERSALDATA!$E$2:$E$20871,WORKING!C44)</f>
        <v>28234642.840000004</v>
      </c>
    </row>
    <row r="45" spans="1:29" x14ac:dyDescent="0.25">
      <c r="A45" s="2">
        <f>Results!$D$3</f>
        <v>21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0.76211009460550005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6.1779318956078973E-2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2.4618455426253134E-2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9.531555154251621E-4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3.6909503443560698E-2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9.9139581756392231E-2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1.3791435903493078E-2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1.6234952898638977E-4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1.3943699404890159E-5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4.9614672228543973E-4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2.6014442619917516E-5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7.4645730435814614E-2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7.0307457997390896E-2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6.9307457997390895E-2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6.7307457997390879E-2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1.4074645374017996E-2</v>
      </c>
      <c r="AB45" s="2">
        <f>SUMIFS(PERSALDATA!$G$2:$G$20871,PERSALDATA!$A$2:$A$20871,WORKING!A45,PERSALDATA!$D$2:$D$20871,WORKING!B45,PERSALDATA!$E$2:$E$20871,WORKING!C45,PERSALDATA!$F$2:$F$20871,"S&amp;W: BASIC SALARY (RES)")</f>
        <v>292</v>
      </c>
      <c r="AC45" s="2">
        <f>SUMIFS(PERSALDATA!$H$2:$H$20871,PERSALDATA!$A$2:$A$20871,WORKING!A45,PERSALDATA!$D$2:$D$20871,WORKING!B45,PERSALDATA!$E$2:$E$20871,WORKING!C45)</f>
        <v>124284807.76000002</v>
      </c>
    </row>
    <row r="46" spans="1:29" x14ac:dyDescent="0.25">
      <c r="A46" s="2">
        <f>Results!$D$3</f>
        <v>21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0.78038828094351687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6.0434778333643309E-2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1.9293058711455834E-2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3.6928537321743559E-4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2.7933622015158026E-2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9.9987027710139495E-2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6.8075243003122513E-3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1.3956025250935874E-4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4.3465517315070118E-3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3.0031062854030978E-4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7.4924798246141566E-2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7.0226073743112821E-2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6.922607374311282E-2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6.7226073743112805E-2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1.4289506385313152E-2</v>
      </c>
      <c r="AB46" s="2">
        <f>SUMIFS(PERSALDATA!$G$2:$G$20871,PERSALDATA!$A$2:$A$20871,WORKING!A46,PERSALDATA!$D$2:$D$20871,WORKING!B46,PERSALDATA!$E$2:$E$20871,WORKING!C46,PERSALDATA!$F$2:$F$20871,"S&amp;W: BASIC SALARY (RES)")</f>
        <v>55</v>
      </c>
      <c r="AC46" s="2">
        <f>SUMIFS(PERSALDATA!$H$2:$H$20871,PERSALDATA!$A$2:$A$20871,WORKING!A46,PERSALDATA!$D$2:$D$20871,WORKING!B46,PERSALDATA!$E$2:$E$20871,WORKING!C46)</f>
        <v>29576042.790000007</v>
      </c>
    </row>
    <row r="47" spans="1:29" x14ac:dyDescent="0.25">
      <c r="A47" s="2">
        <f>Results!$D$3</f>
        <v>21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0.69085654829547716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4.8442168219208624E-2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1.4621352552476503E-2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6.4014343875704461E-4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1.2848696373755349E-2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8.9897285891170589E-2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6.031336070415185E-3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1.0296029600571651E-4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0.13655950886273374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1.4586404861666437E-2</v>
      </c>
      <c r="AB47" s="2">
        <f>SUMIFS(PERSALDATA!$G$2:$G$20871,PERSALDATA!$A$2:$A$20871,WORKING!A47,PERSALDATA!$D$2:$D$20871,WORKING!B47,PERSALDATA!$E$2:$E$20871,WORKING!C47,PERSALDATA!$F$2:$F$20871,"S&amp;W: BASIC SALARY (RES)")</f>
        <v>75</v>
      </c>
      <c r="AC47" s="2">
        <f>SUMIFS(PERSALDATA!$H$2:$H$20871,PERSALDATA!$A$2:$A$20871,WORKING!A47,PERSALDATA!$D$2:$D$20871,WORKING!B47,PERSALDATA!$E$2:$E$20871,WORKING!C47)</f>
        <v>49489173.960000023</v>
      </c>
    </row>
    <row r="48" spans="1:29" x14ac:dyDescent="0.25">
      <c r="A48" s="2">
        <f>Results!$D$3</f>
        <v>21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0.68134532552503679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5.0855974945516705E-2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8.500649129844778E-3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2.708000948639867E-4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1.6964596150066232E-2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8.8964955025506262E-2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2.2702033483218E-2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9.2038331122865064E-5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0.12941523999324028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5.674884341628129E-4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3.0226228055114495E-4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1.8636606870177533E-5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1.4616640745834492E-2</v>
      </c>
      <c r="AB48" s="2">
        <f>SUMIFS(PERSALDATA!$G$2:$G$20871,PERSALDATA!$A$2:$A$20871,WORKING!A48,PERSALDATA!$D$2:$D$20871,WORKING!B48,PERSALDATA!$E$2:$E$20871,WORKING!C48,PERSALDATA!$F$2:$F$20871,"S&amp;W: BASIC SALARY (RES)")</f>
        <v>249</v>
      </c>
      <c r="AC48" s="2">
        <f>SUMIFS(PERSALDATA!$H$2:$H$20871,PERSALDATA!$A$2:$A$20871,WORKING!A48,PERSALDATA!$D$2:$D$20871,WORKING!B48,PERSALDATA!$E$2:$E$20871,WORKING!C48)</f>
        <v>160321029.50999996</v>
      </c>
    </row>
    <row r="49" spans="1:29" x14ac:dyDescent="0.25">
      <c r="A49" s="2">
        <f>Results!$D$3</f>
        <v>21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0.67399954309996946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4.7831741779328939E-2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4.0705641547037685E-3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1.2723090748355701E-2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8.7652661804409795E-2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1.5304745461404787E-2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7.3775169114866511E-5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0.15327631464657285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3.0141876732669689E-3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2.0533754628727801E-3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1.4746988548917383E-2</v>
      </c>
      <c r="AB49" s="2">
        <f>SUMIFS(PERSALDATA!$G$2:$G$20871,PERSALDATA!$A$2:$A$20871,WORKING!A49,PERSALDATA!$D$2:$D$20871,WORKING!B49,PERSALDATA!$E$2:$E$20871,WORKING!C49,PERSALDATA!$F$2:$F$20871,"S&amp;W: BASIC SALARY (RES)")</f>
        <v>77</v>
      </c>
      <c r="AC49" s="2">
        <f>SUMIFS(PERSALDATA!$H$2:$H$20871,PERSALDATA!$A$2:$A$20871,WORKING!A49,PERSALDATA!$D$2:$D$20871,WORKING!B49,PERSALDATA!$E$2:$E$20871,WORKING!C49)</f>
        <v>73728600.900000006</v>
      </c>
    </row>
    <row r="50" spans="1:29" x14ac:dyDescent="0.25">
      <c r="A50" s="2">
        <f>Results!$D$3</f>
        <v>21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0.68811068546964849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5.1658076199829067E-2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1.3178001508725315E-2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1.0898565379553353E-2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8.9569166376392895E-2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1.5542534942327342E-3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6.1442720387040248E-5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0.14372499449449733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1.2448143567337163E-3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1.4637929855870013E-2</v>
      </c>
      <c r="AB50" s="2">
        <f>SUMIFS(PERSALDATA!$G$2:$G$20871,PERSALDATA!$A$2:$A$20871,WORKING!A50,PERSALDATA!$D$2:$D$20871,WORKING!B50,PERSALDATA!$E$2:$E$20871,WORKING!C50,PERSALDATA!$F$2:$F$20871,"S&amp;W: BASIC SALARY (RES)")</f>
        <v>31</v>
      </c>
      <c r="AC50" s="2">
        <f>SUMIFS(PERSALDATA!$H$2:$H$20871,PERSALDATA!$A$2:$A$20871,WORKING!A50,PERSALDATA!$D$2:$D$20871,WORKING!B50,PERSALDATA!$E$2:$E$20871,WORKING!C50)</f>
        <v>35676805.75</v>
      </c>
    </row>
    <row r="51" spans="1:29" x14ac:dyDescent="0.25">
      <c r="A51" s="2">
        <f>Results!$D$3</f>
        <v>21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0.69693155558980369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4.9732804123690577E-2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6.1354482556882422E-3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9.758581804448269E-3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9.0600956721072184E-2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5.2072139571068758E-5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0.14678858136572587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1.4760808467004383E-2</v>
      </c>
      <c r="AB51" s="2">
        <f>SUMIFS(PERSALDATA!$G$2:$G$20871,PERSALDATA!$A$2:$A$20871,WORKING!A51,PERSALDATA!$D$2:$D$20871,WORKING!B51,PERSALDATA!$E$2:$E$20871,WORKING!C51,PERSALDATA!$F$2:$F$20871,"S&amp;W: BASIC SALARY (RES)")</f>
        <v>23</v>
      </c>
      <c r="AC51" s="2">
        <f>SUMIFS(PERSALDATA!$H$2:$H$20871,PERSALDATA!$A$2:$A$20871,WORKING!A51,PERSALDATA!$D$2:$D$20871,WORKING!B51,PERSALDATA!$E$2:$E$20871,WORKING!C51)</f>
        <v>32916258.369999997</v>
      </c>
    </row>
    <row r="52" spans="1:29" x14ac:dyDescent="0.25">
      <c r="A52" s="2">
        <f>Results!$D$3</f>
        <v>21</v>
      </c>
      <c r="B52" s="2">
        <v>3</v>
      </c>
      <c r="C52" s="2">
        <v>16</v>
      </c>
      <c r="D52" s="62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>0.59997546936460078</v>
      </c>
      <c r="E52" s="62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>4.9997955780383393E-2</v>
      </c>
      <c r="F52" s="62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>2.4256432252153841E-2</v>
      </c>
      <c r="G52" s="69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>0</v>
      </c>
      <c r="H52" s="62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>9.4213389037351158E-3</v>
      </c>
      <c r="I52" s="62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>7.799673367804888E-2</v>
      </c>
      <c r="J52" s="62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>0</v>
      </c>
      <c r="K52" s="62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>4.0989855081175906E-5</v>
      </c>
      <c r="L52" s="62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>0</v>
      </c>
      <c r="M52" s="62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>0.23831108016599697</v>
      </c>
      <c r="N52" s="62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>0</v>
      </c>
      <c r="O52" s="62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>0</v>
      </c>
      <c r="P52" s="62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>0</v>
      </c>
      <c r="Q52" s="62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>0</v>
      </c>
      <c r="R52" s="62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>0</v>
      </c>
      <c r="S52" s="62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>0</v>
      </c>
      <c r="T52" s="62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>0</v>
      </c>
      <c r="U52" s="62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>0</v>
      </c>
      <c r="V52" s="62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>0</v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1.4494218584835449E-2</v>
      </c>
      <c r="AB52" s="2">
        <f>SUMIFS(PERSALDATA!$G$2:$G$20871,PERSALDATA!$A$2:$A$20871,WORKING!A52,PERSALDATA!$D$2:$D$20871,WORKING!B52,PERSALDATA!$E$2:$E$20871,WORKING!C52,PERSALDATA!$F$2:$F$20871,"S&amp;W: BASIC SALARY (RES)")</f>
        <v>1</v>
      </c>
      <c r="AC52" s="2">
        <f>SUMIFS(PERSALDATA!$H$2:$H$20871,PERSALDATA!$A$2:$A$20871,WORKING!A52,PERSALDATA!$D$2:$D$20871,WORKING!B52,PERSALDATA!$E$2:$E$20871,WORKING!C52)</f>
        <v>1706763.7799999998</v>
      </c>
    </row>
    <row r="53" spans="1:29" x14ac:dyDescent="0.25">
      <c r="A53" s="2">
        <f>Results!$D$3</f>
        <v>21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21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0.99980580793993779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1.9419206006221048E-4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1.4997087119099067E-2</v>
      </c>
      <c r="AB54" s="2">
        <f>SUMIFS(PERSALDATA!$G$2:$G$20871,PERSALDATA!$A$2:$A$20871,WORKING!A54,PERSALDATA!$D$2:$D$20871,WORKING!B54,PERSALDATA!$E$2:$E$20871,WORKING!C54,PERSALDATA!$F$2:$F$20871,"S&amp;W: BASIC SALARY (RES)")</f>
        <v>15</v>
      </c>
      <c r="AC54" s="2">
        <f>SUMIFS(PERSALDATA!$H$2:$H$20871,PERSALDATA!$A$2:$A$20871,WORKING!A54,PERSALDATA!$D$2:$D$20871,WORKING!B54,PERSALDATA!$E$2:$E$20871,WORKING!C54)</f>
        <v>1708463.2600000002</v>
      </c>
    </row>
    <row r="55" spans="1:29" x14ac:dyDescent="0.25">
      <c r="A55" s="2">
        <f>Results!$D$3</f>
        <v>21</v>
      </c>
      <c r="B55" s="2">
        <v>4</v>
      </c>
      <c r="C55" s="2">
        <v>2</v>
      </c>
      <c r="D55" s="62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>0.62002481276123267</v>
      </c>
      <c r="E55" s="62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>5.174542630711286E-2</v>
      </c>
      <c r="F55" s="62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>7.7179949772934076E-2</v>
      </c>
      <c r="G55" s="69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>0</v>
      </c>
      <c r="H55" s="62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>0.14897142134525782</v>
      </c>
      <c r="I55" s="62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>8.0602200776158386E-2</v>
      </c>
      <c r="J55" s="62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>2.098842848751965E-2</v>
      </c>
      <c r="K55" s="62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>4.8776054978450477E-4</v>
      </c>
      <c r="L55" s="62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>0</v>
      </c>
      <c r="M55" s="62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>0</v>
      </c>
      <c r="N55" s="62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>0</v>
      </c>
      <c r="O55" s="62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>0</v>
      </c>
      <c r="P55" s="62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>0</v>
      </c>
      <c r="Q55" s="62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>0</v>
      </c>
      <c r="R55" s="62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>0</v>
      </c>
      <c r="S55" s="62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>0</v>
      </c>
      <c r="T55" s="62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>0</v>
      </c>
      <c r="U55" s="62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>0</v>
      </c>
      <c r="V55" s="62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>0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7.2219923716090637E-2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7.1462771822449533E-2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7.0462771822449533E-2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6.8462771822449531E-2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1.1600413024980355E-2</v>
      </c>
      <c r="AB55" s="2">
        <f>SUMIFS(PERSALDATA!$G$2:$G$20871,PERSALDATA!$A$2:$A$20871,WORKING!A55,PERSALDATA!$D$2:$D$20871,WORKING!B55,PERSALDATA!$E$2:$E$20871,WORKING!C55,PERSALDATA!$F$2:$F$20871,"S&amp;W: BASIC SALARY (RES)")</f>
        <v>10</v>
      </c>
      <c r="AC55" s="2">
        <f>SUMIFS(PERSALDATA!$H$2:$H$20871,PERSALDATA!$A$2:$A$20871,WORKING!A55,PERSALDATA!$D$2:$D$20871,WORKING!B55,PERSALDATA!$E$2:$E$20871,WORKING!C55)</f>
        <v>1434310.34</v>
      </c>
    </row>
    <row r="56" spans="1:29" x14ac:dyDescent="0.25">
      <c r="A56" s="2">
        <f>Results!$D$3</f>
        <v>21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0.6661211718938681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5.039628886257233E-2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8.3320980386621141E-2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0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8.9948666546619815E-2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8.6836706533878011E-2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1.3477168577535968E-2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4.5826539212641621E-4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0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9.4407518067781224E-3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0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7.0926886822269469E-2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7.0516020194333076E-2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6.9516020194333089E-2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6.7516020194333087E-2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1.2394081315119487E-2</v>
      </c>
      <c r="AB56" s="2">
        <f>SUMIFS(PERSALDATA!$G$2:$G$20871,PERSALDATA!$A$2:$A$20871,WORKING!A56,PERSALDATA!$D$2:$D$20871,WORKING!B56,PERSALDATA!$E$2:$E$20871,WORKING!C56,PERSALDATA!$F$2:$F$20871,"S&amp;W: BASIC SALARY (RES)")</f>
        <v>5</v>
      </c>
      <c r="AC56" s="2">
        <f>SUMIFS(PERSALDATA!$H$2:$H$20871,PERSALDATA!$A$2:$A$20871,WORKING!A56,PERSALDATA!$D$2:$D$20871,WORKING!B56,PERSALDATA!$E$2:$E$20871,WORKING!C56)</f>
        <v>763313.15</v>
      </c>
    </row>
    <row r="57" spans="1:29" x14ac:dyDescent="0.25">
      <c r="A57" s="2">
        <f>Results!$D$3</f>
        <v>21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0.67848870100963699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5.1211002142472421E-2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6.314364421334806E-2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4.2504986957399337E-3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8.7801142039378111E-2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8.7987803413686741E-2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2.2572509932390475E-2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4.0421837181909561E-4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7.267233441477412E-4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3.4137568373804649E-3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7.2430299028336836E-2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7.0685580688457206E-2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6.9685580688457191E-2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6.7685580688457189E-2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1.2729764930631819E-2</v>
      </c>
      <c r="AB57" s="2">
        <f>SUMIFS(PERSALDATA!$G$2:$G$20871,PERSALDATA!$A$2:$A$20871,WORKING!A57,PERSALDATA!$D$2:$D$20871,WORKING!B57,PERSALDATA!$E$2:$E$20871,WORKING!C57,PERSALDATA!$F$2:$F$20871,"S&amp;W: BASIC SALARY (RES)")</f>
        <v>34</v>
      </c>
      <c r="AC57" s="2">
        <f>SUMIFS(PERSALDATA!$H$2:$H$20871,PERSALDATA!$A$2:$A$20871,WORKING!A57,PERSALDATA!$D$2:$D$20871,WORKING!B57,PERSALDATA!$E$2:$E$20871,WORKING!C57)</f>
        <v>5249934.5599999996</v>
      </c>
    </row>
    <row r="58" spans="1:29" x14ac:dyDescent="0.25">
      <c r="A58" s="2">
        <f>Results!$D$3</f>
        <v>21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0.78333125268338855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3.4404201628413816E-2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3.4877161660644793E-2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2.3321149501645258E-3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4.726408823762298E-2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5.8126722099327087E-2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1.323395441587695E-2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2.5049162158145253E-4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2.4087425602277741E-2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1.6846477428488439E-3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4.0793935785329654E-4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7.4011032949117733E-2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7.0360189706957899E-2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6.9360189706957912E-2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6.7360189706957896E-2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1.3764123877202264E-2</v>
      </c>
      <c r="AB58" s="2">
        <f>SUMIFS(PERSALDATA!$G$2:$G$20871,PERSALDATA!$A$2:$A$20871,WORKING!A58,PERSALDATA!$D$2:$D$20871,WORKING!B58,PERSALDATA!$E$2:$E$20871,WORKING!C58,PERSALDATA!$F$2:$F$20871,"S&amp;W: BASIC SALARY (RES)")</f>
        <v>347</v>
      </c>
      <c r="AC58" s="2">
        <f>SUMIFS(PERSALDATA!$H$2:$H$20871,PERSALDATA!$A$2:$A$20871,WORKING!A58,PERSALDATA!$D$2:$D$20871,WORKING!B58,PERSALDATA!$E$2:$E$20871,WORKING!C58)</f>
        <v>87091376</v>
      </c>
    </row>
    <row r="59" spans="1:29" x14ac:dyDescent="0.25">
      <c r="A59" s="2">
        <f>Results!$D$3</f>
        <v>21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0.74301400193227107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5.3185825235301139E-2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4.3036172999833304E-2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4.9074340245222319E-3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5.5745730222301067E-2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8.166338647711284E-2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1.5540415853661445E-2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2.4332626423225197E-4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1.5907091721979603E-4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6.7832217513374613E-4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1.8263138984111675E-3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7.3509691075124881E-2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7.0405824223336216E-2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6.9405824223336188E-2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6.74058242233362E-2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1.35146215577045E-2</v>
      </c>
      <c r="AB59" s="2">
        <f>SUMIFS(PERSALDATA!$G$2:$G$20871,PERSALDATA!$A$2:$A$20871,WORKING!A59,PERSALDATA!$D$2:$D$20871,WORKING!B59,PERSALDATA!$E$2:$E$20871,WORKING!C59,PERSALDATA!$F$2:$F$20871,"S&amp;W: BASIC SALARY (RES)")</f>
        <v>107</v>
      </c>
      <c r="AC59" s="2">
        <f>SUMIFS(PERSALDATA!$H$2:$H$20871,PERSALDATA!$A$2:$A$20871,WORKING!A59,PERSALDATA!$D$2:$D$20871,WORKING!B59,PERSALDATA!$E$2:$E$20871,WORKING!C59)</f>
        <v>31794183.930000003</v>
      </c>
    </row>
    <row r="60" spans="1:29" x14ac:dyDescent="0.25">
      <c r="A60" s="2">
        <f>Results!$D$3</f>
        <v>21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0.75430956430704332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5.2579928629884545E-2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2.7398193244784076E-2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2.2742402282893352E-3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3.5864303224129646E-2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8.9287022850772113E-2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1.161386183273923E-2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9.6225797853125047E-5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2.4620619014792313E-2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1.7315820714059128E-3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2.167467956243598E-4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7.7120026819408714E-6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7.4419837558534208E-2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7.0263982615914114E-2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6.9263982615914113E-2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6.7263982615914084E-2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1.4049503485958268E-2</v>
      </c>
      <c r="AB60" s="2">
        <f>SUMIFS(PERSALDATA!$G$2:$G$20871,PERSALDATA!$A$2:$A$20871,WORKING!A60,PERSALDATA!$D$2:$D$20871,WORKING!B60,PERSALDATA!$E$2:$E$20871,WORKING!C60,PERSALDATA!$F$2:$F$20871,"S&amp;W: BASIC SALARY (RES)")</f>
        <v>1216</v>
      </c>
      <c r="AC60" s="2">
        <f>SUMIFS(PERSALDATA!$H$2:$H$20871,PERSALDATA!$A$2:$A$20871,WORKING!A60,PERSALDATA!$D$2:$D$20871,WORKING!B60,PERSALDATA!$E$2:$E$20871,WORKING!C60)</f>
        <v>327831836.19999999</v>
      </c>
    </row>
    <row r="61" spans="1:29" x14ac:dyDescent="0.25">
      <c r="A61" s="2">
        <f>Results!$D$3</f>
        <v>21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0.73794038379049498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6.0727063820685233E-2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3.1040856995905954E-2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3.391363760982613E-3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3.8738005044465132E-2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9.5372298496150185E-2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2.3256054017068976E-2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1.1594001287145121E-4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1.7757449436988852E-3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7.3025822316948293E-3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3.3970688598183662E-4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7.4183226938933658E-2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7.0270661505707946E-2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6.9270661505707931E-2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6.7270661505707915E-2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1.3951577969201363E-2</v>
      </c>
      <c r="AB61" s="2">
        <f>SUMIFS(PERSALDATA!$G$2:$G$20871,PERSALDATA!$A$2:$A$20871,WORKING!A61,PERSALDATA!$D$2:$D$20871,WORKING!B61,PERSALDATA!$E$2:$E$20871,WORKING!C61,PERSALDATA!$F$2:$F$20871,"S&amp;W: BASIC SALARY (RES)")</f>
        <v>179</v>
      </c>
      <c r="AC61" s="2">
        <f>SUMIFS(PERSALDATA!$H$2:$H$20871,PERSALDATA!$A$2:$A$20871,WORKING!A61,PERSALDATA!$D$2:$D$20871,WORKING!B61,PERSALDATA!$E$2:$E$20871,WORKING!C61)</f>
        <v>50787901.899999991</v>
      </c>
    </row>
    <row r="62" spans="1:29" x14ac:dyDescent="0.25">
      <c r="A62" s="2">
        <f>Results!$D$3</f>
        <v>21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0.76507079678497369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6.1920337350719667E-2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2.0287143214648178E-2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9.7515127747370574E-4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3.5123463869765115E-2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9.7224324977712356E-2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9.4012153712979031E-3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5.422135006238838E-5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6.9627405012284687E-3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2.7961988378809332E-3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1.8386319429762306E-4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5.4326994001773207E-7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7.4949905609863463E-2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7.0323980525900012E-2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6.9323980525900011E-2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6.7323980525899996E-2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1.4168019424433763E-2</v>
      </c>
      <c r="AB62" s="2">
        <f>SUMIFS(PERSALDATA!$G$2:$G$20871,PERSALDATA!$A$2:$A$20871,WORKING!A62,PERSALDATA!$D$2:$D$20871,WORKING!B62,PERSALDATA!$E$2:$E$20871,WORKING!C62,PERSALDATA!$F$2:$F$20871,"S&amp;W: BASIC SALARY (RES)")</f>
        <v>604</v>
      </c>
      <c r="AC62" s="2">
        <f>SUMIFS(PERSALDATA!$H$2:$H$20871,PERSALDATA!$A$2:$A$20871,WORKING!A62,PERSALDATA!$D$2:$D$20871,WORKING!B62,PERSALDATA!$E$2:$E$20871,WORKING!C62)</f>
        <v>273749731.11000001</v>
      </c>
    </row>
    <row r="63" spans="1:29" x14ac:dyDescent="0.25">
      <c r="A63" s="2">
        <f>Results!$D$3</f>
        <v>21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0.76378292779702017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6.3360150715141061E-2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1.8140401957111672E-2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8.379319112780375E-3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3.0972819606411628E-2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9.8330607258644481E-2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1.3000007590690558E-2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6.2643933964601095E-5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2.8949881130385575E-3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8.6526932123946743E-4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2.1029872421628949E-4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5.6586974139224093E-7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7.5054948925749293E-2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7.0283188274525052E-2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6.9283188274525093E-2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6.7283188274525077E-2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1.4262353529491564E-2</v>
      </c>
      <c r="AB63" s="2">
        <f>SUMIFS(PERSALDATA!$G$2:$G$20871,PERSALDATA!$A$2:$A$20871,WORKING!A63,PERSALDATA!$D$2:$D$20871,WORKING!B63,PERSALDATA!$E$2:$E$20871,WORKING!C63,PERSALDATA!$F$2:$F$20871,"S&amp;W: BASIC SALARY (RES)")</f>
        <v>510</v>
      </c>
      <c r="AC63" s="2">
        <f>SUMIFS(PERSALDATA!$H$2:$H$20871,PERSALDATA!$A$2:$A$20871,WORKING!A63,PERSALDATA!$D$2:$D$20871,WORKING!B63,PERSALDATA!$E$2:$E$20871,WORKING!C63)</f>
        <v>262816668.07999995</v>
      </c>
    </row>
    <row r="64" spans="1:29" x14ac:dyDescent="0.25">
      <c r="A64" s="2">
        <f>Results!$D$3</f>
        <v>21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0.68882815075859327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5.5356809061514134E-2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2.5342041194514526E-3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7.8941501353580975E-4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2.3600954245797182E-2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8.8304504262546671E-2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9.2349022633349126E-3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5.8706398447671623E-5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0.12926265408551058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1.5487788097946899E-3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4.8092098147366365E-4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1.4607092028544554E-2</v>
      </c>
      <c r="AB64" s="2">
        <f>SUMIFS(PERSALDATA!$G$2:$G$20871,PERSALDATA!$A$2:$A$20871,WORKING!A64,PERSALDATA!$D$2:$D$20871,WORKING!B64,PERSALDATA!$E$2:$E$20871,WORKING!C64,PERSALDATA!$F$2:$F$20871,"S&amp;W: BASIC SALARY (RES)")</f>
        <v>338</v>
      </c>
      <c r="AC64" s="2">
        <f>SUMIFS(PERSALDATA!$H$2:$H$20871,PERSALDATA!$A$2:$A$20871,WORKING!A64,PERSALDATA!$D$2:$D$20871,WORKING!B64,PERSALDATA!$E$2:$E$20871,WORKING!C64)</f>
        <v>234077040.38</v>
      </c>
    </row>
    <row r="65" spans="1:29" x14ac:dyDescent="0.25">
      <c r="A65" s="2">
        <f>Results!$D$3</f>
        <v>21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0.69048465848769514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5.3116488162976955E-2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2.170947282080159E-3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1.4004238939862286E-4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1.6925979272633836E-2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8.9430802639206858E-2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1.404913051310688E-2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6.3752955057963699E-5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0.1321358278245329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8.8055645705057155E-4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6.0181401626005872E-4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1.471258980735342E-2</v>
      </c>
      <c r="AB65" s="2">
        <f>SUMIFS(PERSALDATA!$G$2:$G$20871,PERSALDATA!$A$2:$A$20871,WORKING!A65,PERSALDATA!$D$2:$D$20871,WORKING!B65,PERSALDATA!$E$2:$E$20871,WORKING!C65,PERSALDATA!$F$2:$F$20871,"S&amp;W: BASIC SALARY (RES)")</f>
        <v>853</v>
      </c>
      <c r="AC65" s="2">
        <f>SUMIFS(PERSALDATA!$H$2:$H$20871,PERSALDATA!$A$2:$A$20871,WORKING!A65,PERSALDATA!$D$2:$D$20871,WORKING!B65,PERSALDATA!$E$2:$E$20871,WORKING!C65)</f>
        <v>641954556.65999985</v>
      </c>
    </row>
    <row r="66" spans="1:29" x14ac:dyDescent="0.25">
      <c r="A66" s="2">
        <f>Results!$D$3</f>
        <v>21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0.68089121232759509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4.5103093799275407E-2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2.3590849124076516E-3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8.378920026845287E-5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1.3260163524583516E-2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8.8342255849716195E-2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1.4223961839562337E-2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5.1064931662962582E-5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0.15427065333243856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1.0278814290757389E-3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3.8683885341398865E-4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1.4764945299470186E-2</v>
      </c>
      <c r="AB66" s="2">
        <f>SUMIFS(PERSALDATA!$G$2:$G$20871,PERSALDATA!$A$2:$A$20871,WORKING!A66,PERSALDATA!$D$2:$D$20871,WORKING!B66,PERSALDATA!$E$2:$E$20871,WORKING!C66,PERSALDATA!$F$2:$F$20871,"S&amp;W: BASIC SALARY (RES)")</f>
        <v>419</v>
      </c>
      <c r="AC66" s="2">
        <f>SUMIFS(PERSALDATA!$H$2:$H$20871,PERSALDATA!$A$2:$A$20871,WORKING!A66,PERSALDATA!$D$2:$D$20871,WORKING!B66,PERSALDATA!$E$2:$E$20871,WORKING!C66)</f>
        <v>418427075.17999995</v>
      </c>
    </row>
    <row r="67" spans="1:29" x14ac:dyDescent="0.25">
      <c r="A67" s="2">
        <f>Results!$D$3</f>
        <v>21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0.68004622607411946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4.0081400113762392E-2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1.1388081758766492E-3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8.603212075346837E-6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1.2450935254078145E-2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8.8415057065964073E-2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1.474440341658685E-2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5.300612904346206E-5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0.16211335879030817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3.8455122800718807E-4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5.6365054017822264E-4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1.4795358756615026E-2</v>
      </c>
      <c r="AB67" s="2">
        <f>SUMIFS(PERSALDATA!$G$2:$G$20871,PERSALDATA!$A$2:$A$20871,WORKING!A67,PERSALDATA!$D$2:$D$20871,WORKING!B67,PERSALDATA!$E$2:$E$20871,WORKING!C67,PERSALDATA!$F$2:$F$20871,"S&amp;W: BASIC SALARY (RES)")</f>
        <v>390</v>
      </c>
      <c r="AC67" s="2">
        <f>SUMIFS(PERSALDATA!$H$2:$H$20871,PERSALDATA!$A$2:$A$20871,WORKING!A67,PERSALDATA!$D$2:$D$20871,WORKING!B67,PERSALDATA!$E$2:$E$20871,WORKING!C67)</f>
        <v>450947851.34000027</v>
      </c>
    </row>
    <row r="68" spans="1:29" x14ac:dyDescent="0.25">
      <c r="A68" s="2">
        <f>Results!$D$3</f>
        <v>21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0.68260799649549186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2.0347601272588174E-2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5.9236229486577209E-3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8.8738650646952355E-2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2.0314542229808534E-5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0.19720347096312765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5.1583431309524547E-3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1.4910840937636687E-2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3443838.37</v>
      </c>
    </row>
    <row r="69" spans="1:29" x14ac:dyDescent="0.25">
      <c r="A69" s="2">
        <f>Results!$D$3</f>
        <v>21</v>
      </c>
      <c r="B69" s="2">
        <v>4</v>
      </c>
      <c r="C69" s="2">
        <v>16</v>
      </c>
      <c r="D69" s="62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>0.6674554680750695</v>
      </c>
      <c r="E69" s="62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>2.9404249339950689E-2</v>
      </c>
      <c r="F69" s="62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>8.7678519693580462E-4</v>
      </c>
      <c r="G69" s="69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>0</v>
      </c>
      <c r="H69" s="62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>1.1166755380658266E-2</v>
      </c>
      <c r="I69" s="62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>8.6769105664204135E-2</v>
      </c>
      <c r="J69" s="62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>0</v>
      </c>
      <c r="K69" s="62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>3.9927571484075725E-5</v>
      </c>
      <c r="L69" s="62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>0</v>
      </c>
      <c r="M69" s="62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>0.20400478030233571</v>
      </c>
      <c r="N69" s="62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>0</v>
      </c>
      <c r="O69" s="62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>0</v>
      </c>
      <c r="P69" s="62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>2.8292846936180989E-4</v>
      </c>
      <c r="Q69" s="62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>0</v>
      </c>
      <c r="R69" s="62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>0</v>
      </c>
      <c r="S69" s="62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>0</v>
      </c>
      <c r="T69" s="62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>0</v>
      </c>
      <c r="U69" s="62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>0</v>
      </c>
      <c r="V69" s="62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>0</v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1.4818747977763825E-2</v>
      </c>
      <c r="AB69" s="2">
        <f>SUMIFS(PERSALDATA!$G$2:$G$20871,PERSALDATA!$A$2:$A$20871,WORKING!A69,PERSALDATA!$D$2:$D$20871,WORKING!B69,PERSALDATA!$E$2:$E$20871,WORKING!C69,PERSALDATA!$F$2:$F$20871,"S&amp;W: BASIC SALARY (RES)")</f>
        <v>18</v>
      </c>
      <c r="AC69" s="2">
        <f>SUMIFS(PERSALDATA!$H$2:$H$20871,PERSALDATA!$A$2:$A$20871,WORKING!A69,PERSALDATA!$D$2:$D$20871,WORKING!B69,PERSALDATA!$E$2:$E$20871,WORKING!C69)</f>
        <v>31393093.879999995</v>
      </c>
    </row>
    <row r="70" spans="1:29" x14ac:dyDescent="0.25">
      <c r="A70" s="2">
        <f>Results!$D$3</f>
        <v>21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21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21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21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21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21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21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21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21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21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21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21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21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21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21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21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21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21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21</v>
      </c>
      <c r="B88" s="2">
        <v>6</v>
      </c>
      <c r="C88" s="2">
        <v>1</v>
      </c>
      <c r="D88" s="62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>0</v>
      </c>
      <c r="E88" s="62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>0</v>
      </c>
      <c r="F88" s="62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>0</v>
      </c>
      <c r="G88" s="69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>0</v>
      </c>
      <c r="H88" s="62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>0</v>
      </c>
      <c r="I88" s="62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>0</v>
      </c>
      <c r="J88" s="62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>0</v>
      </c>
      <c r="K88" s="62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>0</v>
      </c>
      <c r="L88" s="62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>0</v>
      </c>
      <c r="M88" s="62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>0</v>
      </c>
      <c r="N88" s="62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>0</v>
      </c>
      <c r="O88" s="62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>0</v>
      </c>
      <c r="P88" s="62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>0</v>
      </c>
      <c r="Q88" s="62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>1</v>
      </c>
      <c r="R88" s="62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>0</v>
      </c>
      <c r="S88" s="62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>0</v>
      </c>
      <c r="T88" s="62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>0</v>
      </c>
      <c r="U88" s="62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>0</v>
      </c>
      <c r="V88" s="62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>0</v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7.5999999999999998E-2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7.0000000000000007E-2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6.9000000000000006E-2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6.7000000000000004E-2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1.4999999999999999E-2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1592044.1500000001</v>
      </c>
    </row>
    <row r="89" spans="1:29" x14ac:dyDescent="0.25">
      <c r="A89" s="2">
        <f>Results!$D$3</f>
        <v>21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21</v>
      </c>
      <c r="B90" s="2">
        <v>6</v>
      </c>
      <c r="C90" s="2">
        <v>3</v>
      </c>
      <c r="D90" s="62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>0.7534594139209192</v>
      </c>
      <c r="E90" s="62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>3.342752599678798E-3</v>
      </c>
      <c r="F90" s="62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>8.0404739591383112E-2</v>
      </c>
      <c r="G90" s="69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>0</v>
      </c>
      <c r="H90" s="62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>6.4323791673106492E-2</v>
      </c>
      <c r="I90" s="62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>9.7948458179559258E-2</v>
      </c>
      <c r="J90" s="62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>0</v>
      </c>
      <c r="K90" s="62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>5.2084403535307053E-4</v>
      </c>
      <c r="L90" s="62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>0</v>
      </c>
      <c r="M90" s="62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>0</v>
      </c>
      <c r="N90" s="62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>0</v>
      </c>
      <c r="O90" s="62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>0</v>
      </c>
      <c r="P90" s="62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>0</v>
      </c>
      <c r="Q90" s="62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>0</v>
      </c>
      <c r="R90" s="62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>0</v>
      </c>
      <c r="S90" s="62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>0</v>
      </c>
      <c r="T90" s="62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>0</v>
      </c>
      <c r="U90" s="62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>0</v>
      </c>
      <c r="V90" s="62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>0</v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7.0789772874478379E-2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7.0160809479182754E-2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6.9160809479182767E-2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6.7160809479182765E-2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1.2821259370502358E-2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33580.11</v>
      </c>
    </row>
    <row r="91" spans="1:29" x14ac:dyDescent="0.25">
      <c r="A91" s="2">
        <f>Results!$D$3</f>
        <v>21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21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0.73065496090206861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0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3.1616524809955408E-2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0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6.6043407380795741E-2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5.285609633344332E-2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0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3.7547550667822971E-4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0.11845353506705864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0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0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0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0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7.452175181777454E-2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7.0674485862612393E-2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6.9674485862612379E-2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6.7674485862612377E-2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1.3529468884538558E-2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170796.76</v>
      </c>
    </row>
    <row r="93" spans="1:29" x14ac:dyDescent="0.25">
      <c r="A93" s="2">
        <f>Results!$D$3</f>
        <v>21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21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0.82104061816334206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0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3.5855726119621602E-2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0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5.7369161791394563E-2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8.5502228499777802E-2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0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2.3226542586377103E-4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0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0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7.4078133079988256E-2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7.0501980165674702E-2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6.9501980165674701E-2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6.7501980165674699E-2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1.3598142699946797E-2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75301.780000000013</v>
      </c>
    </row>
    <row r="95" spans="1:29" x14ac:dyDescent="0.25">
      <c r="A95" s="2">
        <f>Results!$D$3</f>
        <v>21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21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21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21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0.99874933823059131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5.6938019929431399E-5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0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0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0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0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0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2.9437780646185836E-6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2.3667711279655717E-4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6.8099510505940743E-5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8.7600436430855955E-4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9.9989838037880533E-6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1.4999805858571977E-2</v>
      </c>
      <c r="AB98" s="2">
        <f>SUMIFS(PERSALDATA!$G$2:$G$20871,PERSALDATA!$A$2:$A$20871,WORKING!A98,PERSALDATA!$D$2:$D$20871,WORKING!B98,PERSALDATA!$E$2:$E$20871,WORKING!C98,PERSALDATA!$F$2:$F$20871,"S&amp;W: BASIC SALARY (RES)")</f>
        <v>378</v>
      </c>
      <c r="AC98" s="2">
        <f>SUMIFS(PERSALDATA!$H$2:$H$20871,PERSALDATA!$A$2:$A$20871,WORKING!A98,PERSALDATA!$D$2:$D$20871,WORKING!B98,PERSALDATA!$E$2:$E$20871,WORKING!C98)</f>
        <v>221667525.76999989</v>
      </c>
    </row>
    <row r="99" spans="1:29" x14ac:dyDescent="0.25">
      <c r="A99" s="2">
        <f>Results!$D$3</f>
        <v>21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0.68994524570363203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4.3844485631822395E-2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8.0396963307532189E-3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0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1.2995573490336847E-2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8.6888065121815183E-2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0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7.1182218515392401E-7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0.13457039610311944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2.2101081391832981E-2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2.1048128845525674E-4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1.196915508140065E-3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2.0734276441265628E-4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4.843494731920734E-9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1.4684460202698452E-2</v>
      </c>
      <c r="AB99" s="2">
        <f>SUMIFS(PERSALDATA!$G$2:$G$20871,PERSALDATA!$A$2:$A$20871,WORKING!A99,PERSALDATA!$D$2:$D$20871,WORKING!B99,PERSALDATA!$E$2:$E$20871,WORKING!C99,PERSALDATA!$F$2:$F$20871,"S&amp;W: BASIC SALARY (RES)")</f>
        <v>1225</v>
      </c>
      <c r="AC99" s="2">
        <f>SUMIFS(PERSALDATA!$H$2:$H$20871,PERSALDATA!$A$2:$A$20871,WORKING!A99,PERSALDATA!$D$2:$D$20871,WORKING!B99,PERSALDATA!$E$2:$E$20871,WORKING!C99)</f>
        <v>991019969.1899997</v>
      </c>
    </row>
    <row r="100" spans="1:29" x14ac:dyDescent="0.25">
      <c r="A100" s="2">
        <f>Results!$D$3</f>
        <v>21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0.68070967736645216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4.6157512317132422E-2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4.3838007582524983E-3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1.3268450379200797E-2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8.7678057651628935E-2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0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0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0.13942648792120121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2.8173810666191755E-2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2.0220293994023972E-4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1.4735216232938199E-2</v>
      </c>
      <c r="AB100" s="2">
        <f>SUMIFS(PERSALDATA!$G$2:$G$20871,PERSALDATA!$A$2:$A$20871,WORKING!A100,PERSALDATA!$D$2:$D$20871,WORKING!B100,PERSALDATA!$E$2:$E$20871,WORKING!C100,PERSALDATA!$F$2:$F$20871,"S&amp;W: BASIC SALARY (RES)")</f>
        <v>80</v>
      </c>
      <c r="AC100" s="2">
        <f>SUMIFS(PERSALDATA!$H$2:$H$20871,PERSALDATA!$A$2:$A$20871,WORKING!A100,PERSALDATA!$D$2:$D$20871,WORKING!B100,PERSALDATA!$E$2:$E$20871,WORKING!C100)</f>
        <v>77366481.440000042</v>
      </c>
    </row>
    <row r="101" spans="1:29" x14ac:dyDescent="0.25">
      <c r="A101" s="2">
        <f>Results!$D$3</f>
        <v>21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0.70147055371932532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4.5749207388204829E-2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5.2241099308016695E-3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1.2030716029919116E-2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8.9692464397003568E-2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0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0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0.14317914662222223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3.8181448867039171E-4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6.8466703377713367E-4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1.3021298649544585E-3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2.8519052512139775E-4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1.4741177610589188E-2</v>
      </c>
      <c r="AB101" s="2">
        <f>SUMIFS(PERSALDATA!$G$2:$G$20871,PERSALDATA!$A$2:$A$20871,WORKING!A101,PERSALDATA!$D$2:$D$20871,WORKING!B101,PERSALDATA!$E$2:$E$20871,WORKING!C101,PERSALDATA!$F$2:$F$20871,"S&amp;W: BASIC SALARY (RES)")</f>
        <v>360</v>
      </c>
      <c r="AC101" s="2">
        <f>SUMIFS(PERSALDATA!$H$2:$H$20871,PERSALDATA!$A$2:$A$20871,WORKING!A101,PERSALDATA!$D$2:$D$20871,WORKING!B101,PERSALDATA!$E$2:$E$20871,WORKING!C101)</f>
        <v>411672617.6299997</v>
      </c>
    </row>
    <row r="102" spans="1:29" x14ac:dyDescent="0.25">
      <c r="A102" s="2">
        <f>Results!$D$3</f>
        <v>21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21</v>
      </c>
      <c r="B103" s="2">
        <v>6</v>
      </c>
      <c r="C103" s="2">
        <v>16</v>
      </c>
      <c r="D103" s="62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>1</v>
      </c>
      <c r="E103" s="62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>0</v>
      </c>
      <c r="F103" s="62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>0</v>
      </c>
      <c r="G103" s="69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>0</v>
      </c>
      <c r="H103" s="62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>0</v>
      </c>
      <c r="I103" s="62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>0</v>
      </c>
      <c r="J103" s="62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>0</v>
      </c>
      <c r="K103" s="62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>0</v>
      </c>
      <c r="L103" s="62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>0</v>
      </c>
      <c r="M103" s="62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>0</v>
      </c>
      <c r="N103" s="62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>0</v>
      </c>
      <c r="O103" s="62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>0</v>
      </c>
      <c r="P103" s="62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>0</v>
      </c>
      <c r="Q103" s="62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>0</v>
      </c>
      <c r="R103" s="62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>0</v>
      </c>
      <c r="S103" s="62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>0</v>
      </c>
      <c r="T103" s="62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>0</v>
      </c>
      <c r="U103" s="62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>0</v>
      </c>
      <c r="V103" s="62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>0</v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1.4999999999999999E-2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390407.00999999995</v>
      </c>
    </row>
    <row r="104" spans="1:29" x14ac:dyDescent="0.25">
      <c r="A104" s="2">
        <f>Results!$D$3</f>
        <v>21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21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21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21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21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21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21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21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21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21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21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21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21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21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21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21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21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21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21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21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21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21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21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21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21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21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21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21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21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21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21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21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21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21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21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21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21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21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21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21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21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21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21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21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21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21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21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21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21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21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21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21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21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21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21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21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21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21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21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21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21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21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21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21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21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21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21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21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21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21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21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21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21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21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21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21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21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21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21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21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21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21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21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21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21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21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21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21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21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21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21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21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21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21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21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21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21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21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21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21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21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21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21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21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21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21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21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21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21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21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21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21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21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21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21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21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21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21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21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21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21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21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21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21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21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21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21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21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21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21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21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21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21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21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21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21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21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21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21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21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21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21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21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21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21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21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21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21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21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21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21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21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21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21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21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21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21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21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21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21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21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21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21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21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21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21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21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21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21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21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21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21</v>
      </c>
      <c r="E3" s="74" t="str">
        <f>INDEX(MAPs!$I$7:$J$54,MATCH(Results!$D$3,MAPs!$I$7:$I$54,0),2)</f>
        <v>Justice And Constitutional Development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7938.4249953201843</v>
      </c>
      <c r="N9" s="148">
        <f>IFERROR(SUMIFS('Employee Profile (2)'!C$4:C$50,'Employee Profile (2)'!$B$4:$B$50,Results!$D$3),"")</f>
        <v>0.32084815274917888</v>
      </c>
      <c r="O9" s="150" t="s">
        <v>620</v>
      </c>
      <c r="P9" s="143">
        <f>IFERROR(INDEX('Employee Profile (2)'!$AC$4:$AC$50,MATCH(Results!$D$3,'Employee Profile (2)'!$B$4:$B$50,0))*$Q9,"")</f>
        <v>16270.529176522641</v>
      </c>
      <c r="Q9" s="148">
        <f>IFERROR(SUMIFS('Employee Profile (2)'!J$4:J$50,'Employee Profile (2)'!$B$4:$B$50,Results!$D$3),"")</f>
        <v>0.65760767830097167</v>
      </c>
      <c r="R9" s="150" t="s">
        <v>627</v>
      </c>
      <c r="S9" s="144">
        <f>IFERROR(INDEX('Employee Profile (2)'!$AC$4:$AC$50,MATCH(Results!$D$3,'Employee Profile (2)'!$B$4:$B$50,0))*$T9,"")</f>
        <v>954.09308578527316</v>
      </c>
      <c r="T9" s="147">
        <f>IFERROR(SUMIFS('Employee Profile (2)'!N$4:N$50,'Employee Profile (2)'!$B$4:$B$50,Results!$D$3),"")</f>
        <v>3.8561679968687784E-2</v>
      </c>
      <c r="U9" s="150" t="s">
        <v>632</v>
      </c>
      <c r="V9" s="144">
        <f>IFERROR(INDEX('Employee Profile (2)'!$AC$4:$AC$50,MATCH(Results!$D$3,'Employee Profile (2)'!$B$4:$B$50,0))*$W9,"")</f>
        <v>12746.36363017545</v>
      </c>
      <c r="W9" s="147">
        <f>IFERROR(SUMIFS('Employee Profile (2)'!S$4:S$50,'Employee Profile (2)'!$B$4:$B$50,Results!$D$3),"")</f>
        <v>0.51517111107329439</v>
      </c>
      <c r="X9" s="150" t="s">
        <v>635</v>
      </c>
      <c r="Y9" s="144">
        <f>IFERROR(INDEX('Employee Profile (2)'!$AC$4:$AC$50,MATCH(Results!$D$3,'Employee Profile (2)'!$B$4:$B$50,0))*$Z9,"")</f>
        <v>16152.214897129146</v>
      </c>
      <c r="Z9" s="147">
        <f>IFERROR(SUMIFS('Employee Profile (2)'!V$4:V$50,'Employee Profile (2)'!$B$4:$B$50,Results!$D$3),"")</f>
        <v>0.6528257577046781</v>
      </c>
      <c r="AA9" s="150" t="s">
        <v>675</v>
      </c>
      <c r="AB9" s="144">
        <f>IFERROR(SUMIFS('Employee Profile (2)'!$AD$4:$AD$50,'Employee Profile (2)'!$B$4:$B$50,Results!$D$3),"")</f>
        <v>1365</v>
      </c>
      <c r="AC9" s="147">
        <f>IFERROR(SUMIFS('Employee Profile (2)'!$AE$4:$AE$50,'Employee Profile (2)'!$B$4:$B$50,Results!$D$3),"")</f>
        <v>5.516934766793307E-2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9955.6624066164077</v>
      </c>
      <c r="N10" s="148">
        <f>IFERROR(SUMIFS('Employee Profile (2)'!D$4:D$50,'Employee Profile (2)'!$B$4:$B$50,Results!$D$3),"")</f>
        <v>0.40237904804043362</v>
      </c>
      <c r="O10" s="150" t="s">
        <v>621</v>
      </c>
      <c r="P10" s="143">
        <f>IFERROR(INDEX('Employee Profile (2)'!$AC$4:$AC$50,MATCH(Results!$D$3,'Employee Profile (2)'!$B$4:$B$50,0))*$Q10,"")</f>
        <v>4650.4669605023573</v>
      </c>
      <c r="Q10" s="148">
        <f>IFERROR(SUMIFS('Employee Profile (2)'!K$4:K$50,'Employee Profile (2)'!$B$4:$B$50,Results!$D$3),"")</f>
        <v>0.18795840920306997</v>
      </c>
      <c r="R10" s="150" t="s">
        <v>628</v>
      </c>
      <c r="S10" s="144">
        <f>IFERROR(INDEX('Employee Profile (2)'!$AC$4:$AC$50,MATCH(Results!$D$3,'Employee Profile (2)'!$B$4:$B$50,0))*$T10,"")</f>
        <v>12155.634327723226</v>
      </c>
      <c r="T10" s="147">
        <f>IFERROR(SUMIFS('Employee Profile (2)'!O$4:O$50,'Employee Profile (2)'!$B$4:$B$50,Results!$D$3),"")</f>
        <v>0.49129554311386414</v>
      </c>
      <c r="U10" s="150" t="s">
        <v>633</v>
      </c>
      <c r="V10" s="144">
        <f>IFERROR(INDEX('Employee Profile (2)'!$AC$4:$AC$50,MATCH(Results!$D$3,'Employee Profile (2)'!$B$4:$B$50,0))*$W10,"")</f>
        <v>9297.5655429436902</v>
      </c>
      <c r="W10" s="147">
        <f>IFERROR(SUMIFS('Employee Profile (2)'!T$4:T$50,'Employee Profile (2)'!$B$4:$B$50,Results!$D$3),"")</f>
        <v>0.37578067831798923</v>
      </c>
      <c r="X10" s="150" t="s">
        <v>636</v>
      </c>
      <c r="Y10" s="144">
        <f>IFERROR(INDEX('Employee Profile (2)'!$AC$4:$AC$50,MATCH(Results!$D$3,'Employee Profile (2)'!$B$4:$B$50,0))*$Z10,"")</f>
        <v>2101.8679100794716</v>
      </c>
      <c r="Z10" s="147">
        <f>IFERROR(SUMIFS('Employee Profile (2)'!W$4:W$50,'Employee Profile (2)'!$B$4:$B$50,Results!$D$3),"")</f>
        <v>8.4951415006041212E-2</v>
      </c>
      <c r="AA10" s="150" t="s">
        <v>676</v>
      </c>
      <c r="AB10" s="144">
        <f>IFERROR(INDEX('Employee Profile (2)'!$AC$4:$AC$50,MATCH(Results!$D$3,'Employee Profile (2)'!$B$4:$B$50))-$AB$9,"")</f>
        <v>23377</v>
      </c>
      <c r="AC10" s="147">
        <f>IFERROR(100%-$AC$9,"")</f>
        <v>0.94483065233206698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936</v>
      </c>
      <c r="H11" s="158">
        <v>653</v>
      </c>
      <c r="I11" s="158">
        <v>799</v>
      </c>
      <c r="J11" s="158">
        <v>199</v>
      </c>
      <c r="L11" s="150" t="s">
        <v>658</v>
      </c>
      <c r="M11" s="143">
        <f>IFERROR(INDEX('Employee Profile (2)'!$AC$4:$AC$50,MATCH(Results!$D$3,'Employee Profile (2)'!$B$4:$B$50,0))*$N11,"")</f>
        <v>1971.764307472389</v>
      </c>
      <c r="N11" s="148">
        <f>IFERROR(SUMIFS('Employee Profile (2)'!E$4:E$50,'Employee Profile (2)'!$B$4:$B$50,Results!$D$3),"")</f>
        <v>7.9693004101220155E-2</v>
      </c>
      <c r="O11" s="150" t="s">
        <v>622</v>
      </c>
      <c r="P11" s="143">
        <f>IFERROR(INDEX('Employee Profile (2)'!$AC$4:$AC$50,MATCH(Results!$D$3,'Employee Profile (2)'!$B$4:$B$50,0))*$Q11,"")</f>
        <v>2646.7030614502323</v>
      </c>
      <c r="Q11" s="148">
        <f>IFERROR(SUMIFS('Employee Profile (2)'!L$4:L$50,'Employee Profile (2)'!$B$4:$B$50,Results!$D$3),"")</f>
        <v>0.10697207426441808</v>
      </c>
      <c r="R11" s="150" t="s">
        <v>629</v>
      </c>
      <c r="S11" s="144">
        <f>IFERROR(INDEX('Employee Profile (2)'!$AC$4:$AC$50,MATCH(Results!$D$3,'Employee Profile (2)'!$B$4:$B$50,0))*$T11,"")</f>
        <v>5355.721117029424</v>
      </c>
      <c r="T11" s="147">
        <f>IFERROR(SUMIFS('Employee Profile (2)'!P$4:P$50,'Employee Profile (2)'!$B$4:$B$50,Results!$D$3),"")</f>
        <v>0.21646274015962427</v>
      </c>
      <c r="U11" s="150" t="s">
        <v>53</v>
      </c>
      <c r="V11" s="144">
        <f>IFERROR(INDEX('Employee Profile (2)'!$AC$4:$AC$50,MATCH(Results!$D$3,'Employee Profile (2)'!$B$4:$B$50,0))*$W11,"")</f>
        <v>2698.0708268808607</v>
      </c>
      <c r="W11" s="147">
        <f>IFERROR(SUMIFS('Employee Profile (2)'!U$4:U$50,'Employee Profile (2)'!$B$4:$B$50,Results!$D$3),"")</f>
        <v>0.10904821060871638</v>
      </c>
      <c r="X11" s="150" t="s">
        <v>637</v>
      </c>
      <c r="Y11" s="144">
        <f>IFERROR(INDEX('Employee Profile (2)'!$AC$4:$AC$50,MATCH(Results!$D$3,'Employee Profile (2)'!$B$4:$B$50,0))*$Z11,"")</f>
        <v>939.77747902591773</v>
      </c>
      <c r="Z11" s="147">
        <f>IFERROR(SUMIFS('Employee Profile (2)'!X$4:X$50,'Employee Profile (2)'!$B$4:$B$50,Results!$D$3),"")</f>
        <v>3.7983084594047277E-2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12</v>
      </c>
      <c r="H12" s="158">
        <v>47</v>
      </c>
      <c r="I12" s="158">
        <v>60</v>
      </c>
      <c r="J12" s="158">
        <v>55</v>
      </c>
      <c r="L12" s="150" t="s">
        <v>659</v>
      </c>
      <c r="M12" s="143">
        <f>IFERROR(INDEX('Employee Profile (2)'!$AC$4:$AC$50,MATCH(Results!$D$3,'Employee Profile (2)'!$B$4:$B$50,0))*$N12,"")</f>
        <v>1404.6136514473394</v>
      </c>
      <c r="N12" s="148">
        <f>IFERROR(SUMIFS('Employee Profile (2)'!F$4:F$50,'Employee Profile (2)'!$B$4:$B$50,Results!$D$3),"")</f>
        <v>5.6770416758844852E-2</v>
      </c>
      <c r="O12" s="150" t="s">
        <v>623</v>
      </c>
      <c r="P12" s="143">
        <f>IFERROR(INDEX('Employee Profile (2)'!$AC$4:$AC$50,MATCH(Results!$D$3,'Employee Profile (2)'!$B$4:$B$50,0))*$Q12,"")</f>
        <v>1174.300801524769</v>
      </c>
      <c r="Q12" s="148">
        <f>IFERROR(SUMIFS('Employee Profile (2)'!M$4:M$50,'Employee Profile (2)'!$B$4:$B$50,Results!$D$3),"")</f>
        <v>4.7461838231540251E-2</v>
      </c>
      <c r="R12" s="150" t="s">
        <v>630</v>
      </c>
      <c r="S12" s="144">
        <f>IFERROR(INDEX('Employee Profile (2)'!$AC$4:$AC$50,MATCH(Results!$D$3,'Employee Profile (2)'!$B$4:$B$50,0))*$T12,"")</f>
        <v>234.52332249885131</v>
      </c>
      <c r="T12" s="147">
        <f>IFERROR(SUMIFS('Employee Profile (2)'!Q$4:Q$50,'Employee Profile (2)'!$B$4:$B$50,Results!$D$3),"")</f>
        <v>9.4787536374929798E-3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2850.0688868846041</v>
      </c>
      <c r="Z12" s="147">
        <f>IFERROR(SUMIFS('Employee Profile (2)'!Y$4:Y$50,'Employee Profile (2)'!$B$4:$B$50,Results!$D$3),"")</f>
        <v>0.11519153208651703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588.20301890645476</v>
      </c>
      <c r="N13" s="148">
        <f>IFERROR(SUMIFS('Employee Profile (2)'!G$4:G$50,'Employee Profile (2)'!$B$4:$B$50,Results!$D$3),"")</f>
        <v>2.3773462893317224E-2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6042.0281469632255</v>
      </c>
      <c r="T13" s="147">
        <f>IFERROR(SUMIFS('Employee Profile (2)'!R$4:R$50,'Employee Profile (2)'!$B$4:$B$50,Results!$D$3),"")</f>
        <v>0.24420128312033082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2698.0708268808607</v>
      </c>
      <c r="Z13" s="147">
        <f>IFERROR(SUMIFS('Employee Profile (2)'!Z$4:Z$50,'Employee Profile (2)'!$B$4:$B$50,Results!$D$3),"")</f>
        <v>0.10904821060871638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209.68153429879345</v>
      </c>
      <c r="N14" s="148">
        <f>IFERROR(SUMIFS('Employee Profile (2)'!H$4:H$50,'Employee Profile (2)'!$B$4:$B$50,Results!$D$3),"")</f>
        <v>8.4747204873815152E-3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948</v>
      </c>
      <c r="H15" s="112">
        <f t="shared" ref="H15:J15" si="0">SUM(H9:H14)</f>
        <v>700</v>
      </c>
      <c r="I15" s="112">
        <f t="shared" si="0"/>
        <v>859</v>
      </c>
      <c r="J15" s="112">
        <f t="shared" si="0"/>
        <v>254</v>
      </c>
      <c r="L15" s="150" t="s">
        <v>53</v>
      </c>
      <c r="M15" s="143">
        <f>IFERROR(INDEX('Employee Profile (2)'!$AC$4:$AC$50,MATCH(Results!$D$3,'Employee Profile (2)'!$B$4:$B$50,0))*$N15,"")</f>
        <v>2673.6500859384305</v>
      </c>
      <c r="N15" s="148">
        <f>IFERROR(SUMIFS('Employee Profile (2)'!I$4:I$50,'Employee Profile (2)'!$B$4:$B$50,Results!$D$3),"")</f>
        <v>0.10806119496962374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948</v>
      </c>
      <c r="H16" s="82">
        <f>SUMIFS($W$64:$W$509,$C$64:$C$509,"Total")</f>
        <v>700</v>
      </c>
      <c r="I16" s="82">
        <f>SUMIFS($AE$64:$AE$509,$C$64:$C$509,"Total")</f>
        <v>859</v>
      </c>
      <c r="J16" s="82">
        <f>SUMIFS($AM$64:$AM$509,$C$64:$C$509,"Total")</f>
        <v>254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1468</v>
      </c>
      <c r="G29" s="87">
        <f t="shared" ref="G29:G44" si="4">SUMIFS($K$64:$K$509,$A$64:$A$509,B29,$C$64:$C$509,"Total")</f>
        <v>336.74863760217983</v>
      </c>
      <c r="H29" s="83">
        <f t="shared" ref="H29:H44" si="5">SUMIFS($J$64:$J$509,$A$64:$A$509,B29,$C$64:$C$509,"Total")</f>
        <v>494347</v>
      </c>
      <c r="I29" s="21">
        <f t="shared" ref="I29:I44" si="6">-SUMIFS($O$64:$O$509,$A$64:$A$509,$B29,$C$64:$C$509,"Total")+SUMIFS($N$64:$N$509,$A$64:$A$509,$B29,$C$64:$C$509,"Total")</f>
        <v>124</v>
      </c>
      <c r="J29" s="88">
        <f t="shared" ref="J29:J44" si="7">SUMIFS($P$64:$P$509,$A$64:$A$509,$B29,$C$64:$C$509,"Total")</f>
        <v>1592</v>
      </c>
      <c r="K29" s="88">
        <f t="shared" ref="K29:K44" si="8">SUMIFS($M$64:$M$509,$A$64:$A$509,$B29,$C$64:$C$509,"Total")</f>
        <v>339.96174339703106</v>
      </c>
      <c r="L29" s="88">
        <f t="shared" ref="L29:L44" si="9">SUMIFS($R$64:$R$509,$A$64:$A$509,$B29,$C$64:$C$509,"Total")+SUMIFS($Q$64:$Q$509,$A$64:$A$509,$B29,$C$64:$C$509,"Total")</f>
        <v>7509.988840270631</v>
      </c>
      <c r="M29" s="88">
        <f t="shared" ref="M29:M44" si="10">SUMIFS($S$64:$S$509,$A$64:$A$509,$B29,$C$64:$C$509,"Total")</f>
        <v>541219.09548807342</v>
      </c>
      <c r="N29" s="88">
        <f t="shared" ref="N29:N44" si="11">SUMIFS($S$64:$S$509,$A$64:$A$509,$B29,$C$64:$C$509,"Compensation Budget")</f>
        <v>552324</v>
      </c>
      <c r="O29" s="89">
        <f t="shared" ref="O29:O44" si="12">SUMIFS($S$64:$S$509,$A$64:$A$509,$B29,$C$64:$C$509,"Under/(Over)")</f>
        <v>11104.904511926579</v>
      </c>
      <c r="P29" s="21">
        <f t="shared" ref="P29:P44" si="13">-SUMIFS($W$64:$W$509,$A$64:$A$509,$B29,$C$64:$C$509,"Total")+SUMIFS($V$64:$V$509,$A$64:$A$509,$B29,$C$64:$C$509,"Total")</f>
        <v>-48</v>
      </c>
      <c r="Q29" s="88">
        <f t="shared" ref="Q29:Q44" si="14">SUMIFS($X$64:$X$509,$A$64:$A$509,$B29,$C$64:$C$509,"Total")</f>
        <v>1544</v>
      </c>
      <c r="R29" s="88">
        <f t="shared" ref="R29:R44" si="15">SUMIFS($U$64:$U$509,$A$64:$A$509,$B29,$C$64:$C$509,"Total")</f>
        <v>368.4741649650864</v>
      </c>
      <c r="S29" s="88">
        <f t="shared" ref="S29:S44" si="16">SUMIFS($Z$64:$Z$509,$A$64:$A$509,$B29,$C$64:$C$509,"Total")+SUMIFS($Y$64:$Y$509,$A$64:$A$509,$B29,$C$64:$C$509,"Total")</f>
        <v>-17029.047240810109</v>
      </c>
      <c r="T29" s="88">
        <f t="shared" ref="T29:T44" si="17">SUMIFS($AA$64:$AA$509,$A$64:$A$509,$B29,$C$64:$C$509,"Total")</f>
        <v>568924.11070609337</v>
      </c>
      <c r="U29" s="88">
        <f t="shared" ref="U29:U44" si="18">SUMIFS($AA$64:$AA$509,$A$64:$A$509,$B29,$C$64:$C$509,"Compensation Budget")</f>
        <v>572747</v>
      </c>
      <c r="V29" s="89">
        <f t="shared" ref="V29:V44" si="19">SUMIFS($AA$64:$AA$509,$A$64:$A$509,$B29,$C$64:$C$509,"Under/(Over)")</f>
        <v>3822.8892939066282</v>
      </c>
      <c r="W29" s="21">
        <f t="shared" ref="W29:W44" si="20">-SUMIFS($AE$64:$AE$509,$A$64:$A$509,$B29,$C$64:$C$509,"Total")+SUMIFS($AD$64:$AD$509,$A$64:$A$509,$B29,$C$64:$C$509,"Total")</f>
        <v>-57</v>
      </c>
      <c r="X29" s="88">
        <f t="shared" ref="X29:X44" si="21">SUMIFS($AF$64:$AF$509,$A$64:$A$509,$B29,$C$64:$C$509,"Total")</f>
        <v>1487</v>
      </c>
      <c r="Y29" s="88">
        <f t="shared" ref="Y29:Y44" si="22">SUMIFS($AC$64:$AC$509,$A$64:$A$509,$B29,$C$64:$C$509,"Total")</f>
        <v>398.80145942667014</v>
      </c>
      <c r="Z29" s="88">
        <f t="shared" ref="Z29:Z44" si="23">SUMIFS($AH$64:$AH$509,$A$64:$A$509,$B29,$C$64:$C$509,"Total")+SUMIFS($AG$64:$AG$509,$A$64:$A$509,$B29,$C$64:$C$509,"Total")</f>
        <v>-22326.752641926592</v>
      </c>
      <c r="AA29" s="88">
        <f t="shared" ref="AA29:AA44" si="24">SUMIFS($AI$64:$AI$509,$A$64:$A$509,$B29,$C$64:$C$509,"Total")</f>
        <v>593017.77016745845</v>
      </c>
      <c r="AB29" s="88">
        <f t="shared" ref="AB29:AB44" si="25">SUMIFS($AI$64:$AI$509,$A$64:$A$509,$B29,$C$64:$C$509,"Compensation Budget")</f>
        <v>563899</v>
      </c>
      <c r="AC29" s="89">
        <f t="shared" ref="AC29:AC44" si="26">SUMIFS($AI$64:$AI$509,$A$64:$A$509,$B29,$C$64:$C$509,"Under/(Over)")</f>
        <v>-29118.770167458453</v>
      </c>
      <c r="AD29" s="21">
        <f t="shared" ref="AD29:AD44" si="27">-SUMIFS($AM$64:$AM$509,$A$64:$A$509,$B29,$C$64:$C$509,"Total")+SUMIFS($AL$64:$AL$509,$A$64:$A$509,$B29,$C$64:$C$509,"Total")</f>
        <v>-72</v>
      </c>
      <c r="AE29" s="88">
        <f t="shared" ref="AE29:AE44" si="28">SUMIFS($AN$64:$AN$509,$A$64:$A$509,$B29,$C$64:$C$509,"Total")</f>
        <v>1415</v>
      </c>
      <c r="AF29" s="88">
        <f t="shared" ref="AF29:AF44" si="29">SUMIFS($AK$64:$AK$509,$A$64:$A$509,$B29,$C$64:$C$509,"Total")</f>
        <v>426.27263662594044</v>
      </c>
      <c r="AG29" s="88">
        <f t="shared" ref="AG29:AG44" si="30">SUMIFS($AP$64:$AP$509,$A$64:$A$509,$B29,$C$64:$C$509,"Total")+SUMIFS($AO$64:$AO$509,$A$64:$A$509,$B29,$C$64:$C$509,"Total")</f>
        <v>-36985.649933355351</v>
      </c>
      <c r="AH29" s="88">
        <f t="shared" ref="AH29:AH44" si="31">SUMIFS($AQ$64:$AQ$509,$A$64:$A$509,$B29,$C$64:$C$509,"Total")</f>
        <v>603175.78082570573</v>
      </c>
      <c r="AI29" s="88">
        <f t="shared" ref="AI29:AI44" si="32">SUMIFS($AQ$64:$AQ$509,$A$64:$A$509,$B29,$C$64:$C$509,"Compensation Budget")</f>
        <v>606755.32400000002</v>
      </c>
      <c r="AJ29" s="89">
        <f t="shared" ref="AJ29:AJ44" si="33">SUMIFS($AQ$64:$AQ$509,$A$64:$A$509,$B29,$C$64:$C$509,"Under/(Over)")</f>
        <v>3579.5431742942892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Court Services</v>
      </c>
      <c r="D30" s="222">
        <f t="shared" si="2"/>
        <v>0</v>
      </c>
      <c r="E30" s="223">
        <f t="shared" si="2"/>
        <v>0</v>
      </c>
      <c r="F30" s="80">
        <f t="shared" si="3"/>
        <v>13812</v>
      </c>
      <c r="G30" s="155">
        <f t="shared" si="4"/>
        <v>244.85896322038806</v>
      </c>
      <c r="H30" s="155">
        <f t="shared" si="5"/>
        <v>3381992</v>
      </c>
      <c r="I30" s="23">
        <f t="shared" si="6"/>
        <v>-220</v>
      </c>
      <c r="J30" s="22">
        <f t="shared" si="7"/>
        <v>13592</v>
      </c>
      <c r="K30" s="22">
        <f t="shared" si="8"/>
        <v>266.82279900018466</v>
      </c>
      <c r="L30" s="22">
        <f t="shared" si="9"/>
        <v>-49860.606368446606</v>
      </c>
      <c r="M30" s="22">
        <f t="shared" si="10"/>
        <v>3626655.4840105101</v>
      </c>
      <c r="N30" s="22">
        <f t="shared" si="11"/>
        <v>3573436</v>
      </c>
      <c r="O30" s="91">
        <f t="shared" si="12"/>
        <v>-53219.484010510147</v>
      </c>
      <c r="P30" s="23">
        <f t="shared" si="13"/>
        <v>-313</v>
      </c>
      <c r="Q30" s="22">
        <f t="shared" si="14"/>
        <v>13279</v>
      </c>
      <c r="R30" s="22">
        <f t="shared" si="15"/>
        <v>289.76765986540568</v>
      </c>
      <c r="S30" s="22">
        <f t="shared" si="16"/>
        <v>-85747.828599610337</v>
      </c>
      <c r="T30" s="22">
        <f t="shared" si="17"/>
        <v>3847824.755352722</v>
      </c>
      <c r="U30" s="22">
        <f t="shared" si="18"/>
        <v>3797819</v>
      </c>
      <c r="V30" s="91">
        <f t="shared" si="19"/>
        <v>-50005.755352722015</v>
      </c>
      <c r="W30" s="23">
        <f t="shared" si="20"/>
        <v>-453</v>
      </c>
      <c r="X30" s="22">
        <f t="shared" si="21"/>
        <v>12826</v>
      </c>
      <c r="Y30" s="22">
        <f t="shared" si="22"/>
        <v>314.77415111968998</v>
      </c>
      <c r="Z30" s="22">
        <f t="shared" si="23"/>
        <v>-132274.15702186397</v>
      </c>
      <c r="AA30" s="22">
        <f t="shared" si="24"/>
        <v>4037293.2622611439</v>
      </c>
      <c r="AB30" s="22">
        <f t="shared" si="25"/>
        <v>4008473</v>
      </c>
      <c r="AC30" s="91">
        <f t="shared" si="26"/>
        <v>-28820.262261143886</v>
      </c>
      <c r="AD30" s="23">
        <f t="shared" si="27"/>
        <v>0</v>
      </c>
      <c r="AE30" s="22">
        <f t="shared" si="28"/>
        <v>12826</v>
      </c>
      <c r="AF30" s="22">
        <f t="shared" si="29"/>
        <v>340.45739109878269</v>
      </c>
      <c r="AG30" s="22">
        <f t="shared" si="30"/>
        <v>0</v>
      </c>
      <c r="AH30" s="22">
        <f t="shared" si="31"/>
        <v>4366706.4982329868</v>
      </c>
      <c r="AI30" s="22">
        <f t="shared" si="32"/>
        <v>4313116.9479999999</v>
      </c>
      <c r="AJ30" s="91">
        <f t="shared" si="33"/>
        <v>-53589.55023298692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State Legal Services</v>
      </c>
      <c r="D31" s="222">
        <f t="shared" si="2"/>
        <v>0</v>
      </c>
      <c r="E31" s="223">
        <f t="shared" si="2"/>
        <v>0</v>
      </c>
      <c r="F31" s="80">
        <f t="shared" si="3"/>
        <v>2135</v>
      </c>
      <c r="G31" s="155">
        <f t="shared" si="4"/>
        <v>389.34660421545669</v>
      </c>
      <c r="H31" s="155">
        <f t="shared" si="5"/>
        <v>831255</v>
      </c>
      <c r="I31" s="23">
        <f t="shared" si="6"/>
        <v>27</v>
      </c>
      <c r="J31" s="22">
        <f t="shared" si="7"/>
        <v>2162</v>
      </c>
      <c r="K31" s="22">
        <f t="shared" si="8"/>
        <v>427.72912196025356</v>
      </c>
      <c r="L31" s="22">
        <f t="shared" si="9"/>
        <v>19893.868291049956</v>
      </c>
      <c r="M31" s="22">
        <f t="shared" si="10"/>
        <v>924750.36167806818</v>
      </c>
      <c r="N31" s="22">
        <f t="shared" si="11"/>
        <v>959950</v>
      </c>
      <c r="O31" s="91">
        <f t="shared" si="12"/>
        <v>35199.638321931823</v>
      </c>
      <c r="P31" s="23">
        <f t="shared" si="13"/>
        <v>-52</v>
      </c>
      <c r="Q31" s="22">
        <f t="shared" si="14"/>
        <v>2110</v>
      </c>
      <c r="R31" s="22">
        <f t="shared" si="15"/>
        <v>466.08946504578955</v>
      </c>
      <c r="S31" s="22">
        <f t="shared" si="16"/>
        <v>-19894.896110887672</v>
      </c>
      <c r="T31" s="22">
        <f t="shared" si="17"/>
        <v>983448.77124661591</v>
      </c>
      <c r="U31" s="22">
        <f t="shared" si="18"/>
        <v>1022029</v>
      </c>
      <c r="V31" s="91">
        <f t="shared" si="19"/>
        <v>38580.228753384086</v>
      </c>
      <c r="W31" s="23">
        <f t="shared" si="20"/>
        <v>-72</v>
      </c>
      <c r="X31" s="22">
        <f t="shared" si="21"/>
        <v>2038</v>
      </c>
      <c r="Y31" s="22">
        <f t="shared" si="22"/>
        <v>512.42275536305488</v>
      </c>
      <c r="Z31" s="22">
        <f t="shared" si="23"/>
        <v>-21732.209601751696</v>
      </c>
      <c r="AA31" s="22">
        <f t="shared" si="24"/>
        <v>1044317.5754299058</v>
      </c>
      <c r="AB31" s="22">
        <f t="shared" si="25"/>
        <v>1071488</v>
      </c>
      <c r="AC31" s="91">
        <f t="shared" si="26"/>
        <v>27170.424570094212</v>
      </c>
      <c r="AD31" s="23">
        <f t="shared" si="27"/>
        <v>0</v>
      </c>
      <c r="AE31" s="22">
        <f t="shared" si="28"/>
        <v>2038</v>
      </c>
      <c r="AF31" s="22">
        <f t="shared" si="29"/>
        <v>554.42594116235</v>
      </c>
      <c r="AG31" s="22">
        <f t="shared" si="30"/>
        <v>0</v>
      </c>
      <c r="AH31" s="22">
        <f t="shared" si="31"/>
        <v>1129920.0680888693</v>
      </c>
      <c r="AI31" s="22">
        <f t="shared" si="32"/>
        <v>1152921.088</v>
      </c>
      <c r="AJ31" s="91">
        <f t="shared" si="33"/>
        <v>23001.019911130657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National Prosecuting Authority</v>
      </c>
      <c r="D32" s="222">
        <f t="shared" si="2"/>
        <v>0</v>
      </c>
      <c r="E32" s="223">
        <f t="shared" si="2"/>
        <v>0</v>
      </c>
      <c r="F32" s="80">
        <f t="shared" si="3"/>
        <v>4998</v>
      </c>
      <c r="G32" s="155">
        <f t="shared" si="4"/>
        <v>567.42029165266115</v>
      </c>
      <c r="H32" s="155">
        <f t="shared" si="5"/>
        <v>2835966.6176800006</v>
      </c>
      <c r="I32" s="23">
        <f t="shared" si="6"/>
        <v>-202</v>
      </c>
      <c r="J32" s="22">
        <f t="shared" si="7"/>
        <v>4796</v>
      </c>
      <c r="K32" s="22">
        <f t="shared" si="8"/>
        <v>618.30093966646007</v>
      </c>
      <c r="L32" s="22">
        <f t="shared" si="9"/>
        <v>-89452.832378613937</v>
      </c>
      <c r="M32" s="22">
        <f t="shared" si="10"/>
        <v>2965371.3066403423</v>
      </c>
      <c r="N32" s="22">
        <f t="shared" si="11"/>
        <v>3007463</v>
      </c>
      <c r="O32" s="91">
        <f t="shared" si="12"/>
        <v>42091.693359657656</v>
      </c>
      <c r="P32" s="23">
        <f t="shared" si="13"/>
        <v>-245</v>
      </c>
      <c r="Q32" s="22">
        <f t="shared" si="14"/>
        <v>4551</v>
      </c>
      <c r="R32" s="22">
        <f t="shared" si="15"/>
        <v>670.67882436243679</v>
      </c>
      <c r="S32" s="22">
        <f t="shared" si="16"/>
        <v>-157763.46662971962</v>
      </c>
      <c r="T32" s="22">
        <f t="shared" si="17"/>
        <v>3052259.32967345</v>
      </c>
      <c r="U32" s="22">
        <f t="shared" si="18"/>
        <v>3111219</v>
      </c>
      <c r="V32" s="91">
        <f t="shared" si="19"/>
        <v>58959.670326550025</v>
      </c>
      <c r="W32" s="23">
        <f t="shared" si="20"/>
        <v>-243</v>
      </c>
      <c r="X32" s="22">
        <f t="shared" si="21"/>
        <v>4308</v>
      </c>
      <c r="Y32" s="22">
        <f t="shared" si="22"/>
        <v>730.24749590094234</v>
      </c>
      <c r="Z32" s="22">
        <f t="shared" si="23"/>
        <v>-155143.04738458892</v>
      </c>
      <c r="AA32" s="22">
        <f t="shared" si="24"/>
        <v>3145906.2123412597</v>
      </c>
      <c r="AB32" s="22">
        <f t="shared" si="25"/>
        <v>3229218</v>
      </c>
      <c r="AC32" s="91">
        <f t="shared" si="26"/>
        <v>83311.787658740301</v>
      </c>
      <c r="AD32" s="23">
        <f t="shared" si="27"/>
        <v>17</v>
      </c>
      <c r="AE32" s="22">
        <f t="shared" si="28"/>
        <v>4325</v>
      </c>
      <c r="AF32" s="22">
        <f t="shared" si="29"/>
        <v>786.60865080898918</v>
      </c>
      <c r="AG32" s="22">
        <f t="shared" si="30"/>
        <v>6073.309294385137</v>
      </c>
      <c r="AH32" s="22">
        <f t="shared" si="31"/>
        <v>3402082.4147488782</v>
      </c>
      <c r="AI32" s="22">
        <f t="shared" si="32"/>
        <v>3474638.5680000004</v>
      </c>
      <c r="AJ32" s="91">
        <f t="shared" si="33"/>
        <v>72556.153251122218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Auxiliary and Associated Services</v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1895</v>
      </c>
      <c r="G34" s="155">
        <f t="shared" si="4"/>
        <v>900.50079155672825</v>
      </c>
      <c r="H34" s="155">
        <f t="shared" si="5"/>
        <v>1706449</v>
      </c>
      <c r="I34" s="23">
        <f t="shared" si="6"/>
        <v>164</v>
      </c>
      <c r="J34" s="22">
        <f t="shared" si="7"/>
        <v>2059</v>
      </c>
      <c r="K34" s="22">
        <f t="shared" si="8"/>
        <v>930.21731767810024</v>
      </c>
      <c r="L34" s="22">
        <f t="shared" si="9"/>
        <v>152555.64009920845</v>
      </c>
      <c r="M34" s="22">
        <f t="shared" si="10"/>
        <v>1915317.4570992084</v>
      </c>
      <c r="N34" s="22">
        <f t="shared" si="11"/>
        <v>1977024</v>
      </c>
      <c r="O34" s="91">
        <f t="shared" si="12"/>
        <v>61706.542900791625</v>
      </c>
      <c r="P34" s="23">
        <f t="shared" si="13"/>
        <v>-25</v>
      </c>
      <c r="Q34" s="22">
        <f t="shared" si="14"/>
        <v>2034</v>
      </c>
      <c r="R34" s="22">
        <f t="shared" si="15"/>
        <v>986.03035673878628</v>
      </c>
      <c r="S34" s="22">
        <f t="shared" si="16"/>
        <v>-24650.758918469655</v>
      </c>
      <c r="T34" s="22">
        <f t="shared" si="17"/>
        <v>2005585.7456066913</v>
      </c>
      <c r="U34" s="22">
        <f t="shared" si="18"/>
        <v>2074226</v>
      </c>
      <c r="V34" s="91">
        <f t="shared" si="19"/>
        <v>68640.254393308656</v>
      </c>
      <c r="W34" s="23">
        <f t="shared" si="20"/>
        <v>-2</v>
      </c>
      <c r="X34" s="22">
        <f t="shared" si="21"/>
        <v>2032</v>
      </c>
      <c r="Y34" s="22">
        <f t="shared" si="22"/>
        <v>1044.2061477863747</v>
      </c>
      <c r="Z34" s="22">
        <f t="shared" si="23"/>
        <v>-2088.4122955727494</v>
      </c>
      <c r="AA34" s="22">
        <f t="shared" si="24"/>
        <v>2121826.8923019134</v>
      </c>
      <c r="AB34" s="22">
        <f t="shared" si="25"/>
        <v>2194531</v>
      </c>
      <c r="AC34" s="91">
        <f t="shared" si="26"/>
        <v>72704.107698086649</v>
      </c>
      <c r="AD34" s="23">
        <f t="shared" si="27"/>
        <v>39</v>
      </c>
      <c r="AE34" s="22">
        <f t="shared" si="28"/>
        <v>2071</v>
      </c>
      <c r="AF34" s="22">
        <f t="shared" si="29"/>
        <v>1103.725898210198</v>
      </c>
      <c r="AG34" s="22">
        <f t="shared" si="30"/>
        <v>43045.310030197725</v>
      </c>
      <c r="AH34" s="22">
        <f t="shared" si="31"/>
        <v>2285816.3351933202</v>
      </c>
      <c r="AI34" s="22">
        <f t="shared" si="32"/>
        <v>2361315.3560000001</v>
      </c>
      <c r="AJ34" s="91">
        <f t="shared" si="33"/>
        <v>75499.020806679968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>Direct charge against the National Revenue Fund</v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24308</v>
      </c>
      <c r="G45" s="92">
        <f>IFERROR(H45/F45,0)</f>
        <v>380.53355346717132</v>
      </c>
      <c r="H45" s="92">
        <f>SUM(H29:H38)</f>
        <v>9250009.6176800001</v>
      </c>
      <c r="I45" s="25">
        <f>SUM(I29:I38)</f>
        <v>-107</v>
      </c>
      <c r="J45" s="92">
        <f>SUM(J29:J38)</f>
        <v>24201</v>
      </c>
      <c r="K45" s="92">
        <f>IFERROR(M45/J45,0)</f>
        <v>412.10337196463797</v>
      </c>
      <c r="L45" s="92">
        <f t="shared" ref="L45:Q45" si="34">SUM(L29:L38)</f>
        <v>40646.058483468485</v>
      </c>
      <c r="M45" s="92">
        <f t="shared" si="34"/>
        <v>9973313.7049162034</v>
      </c>
      <c r="N45" s="92">
        <f>INDEX('ENE17'!$C$2:$C$48,MATCH(Results!$D$3,'ENE17'!$A$2:$A$48,0))</f>
        <v>10070197</v>
      </c>
      <c r="O45" s="129">
        <f>N45-M45</f>
        <v>96883.295083796605</v>
      </c>
      <c r="P45" s="25">
        <f t="shared" si="34"/>
        <v>-683</v>
      </c>
      <c r="Q45" s="24">
        <f t="shared" si="34"/>
        <v>23518</v>
      </c>
      <c r="R45" s="92">
        <f>IFERROR(T45/Q45,0)</f>
        <v>444.68248629073781</v>
      </c>
      <c r="S45" s="24">
        <f>SUM(S29:S38)</f>
        <v>-305085.99749949737</v>
      </c>
      <c r="T45" s="24">
        <f>SUM(T29:T38)</f>
        <v>10458042.712585572</v>
      </c>
      <c r="U45" s="207">
        <f>INDEX('ENE17'!$D$2:$D$48,MATCH(Results!$D$3,'ENE17'!$A$2:$A$48,0))</f>
        <v>10578040</v>
      </c>
      <c r="V45" s="24">
        <f>U45-T45</f>
        <v>119997.28741442785</v>
      </c>
      <c r="W45" s="25">
        <f t="shared" ref="W45:X45" si="35">SUM(W29:W38)</f>
        <v>-827</v>
      </c>
      <c r="X45" s="24">
        <f t="shared" si="35"/>
        <v>22691</v>
      </c>
      <c r="Y45" s="92">
        <f>IFERROR(AA45/X45,0)</f>
        <v>482.23356011201281</v>
      </c>
      <c r="Z45" s="24">
        <f t="shared" ref="Z45:AA45" si="36">SUM(Z29:Z38)</f>
        <v>-333564.57894570392</v>
      </c>
      <c r="AA45" s="24">
        <f t="shared" si="36"/>
        <v>10942361.712501682</v>
      </c>
      <c r="AB45" s="207">
        <f>INDEX('ENE17'!$E$2:$E$48,MATCH(Results!$D$3,'ENE17'!$A$2:$A$48,0))</f>
        <v>11067609</v>
      </c>
      <c r="AC45" s="24">
        <f>AB45-AA45</f>
        <v>125247.28749831766</v>
      </c>
      <c r="AD45" s="25">
        <f t="shared" ref="AD45:AE45" si="37">SUM(AD29:AD38)</f>
        <v>-16</v>
      </c>
      <c r="AE45" s="24">
        <f t="shared" si="37"/>
        <v>22675</v>
      </c>
      <c r="AF45" s="92">
        <f>IFERROR(AH45/AE45,0)</f>
        <v>519.85451365335211</v>
      </c>
      <c r="AG45" s="24">
        <f t="shared" ref="AG45:AH45" si="38">SUM(AG29:AG38)</f>
        <v>12132.969391227511</v>
      </c>
      <c r="AH45" s="24">
        <f t="shared" si="38"/>
        <v>11787701.09708976</v>
      </c>
      <c r="AI45" s="207">
        <f>INDEX('ENE17'!$F$2:$F$48,MATCH(Results!$D$3,'ENE17'!$A$2:$A$48,0))</f>
        <v>11908747</v>
      </c>
      <c r="AJ45" s="24">
        <f>AI45-AH45</f>
        <v>121045.90291023999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12345</v>
      </c>
      <c r="G51" s="193">
        <f>IFERROR(H51/F51,"")</f>
        <v>198.08145656055081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2445315.5812399997</v>
      </c>
      <c r="I51" s="97">
        <f>SUMIFS($N$64:$N$509,$B$64:$B$509,$B51)-SUMIFS($O$64:$O$509,$B$64:$B$509,$B51)</f>
        <v>-267</v>
      </c>
      <c r="J51" s="80">
        <f>SUMIFS($P$64:$P$509,$B$64:$B$509,$B51)</f>
        <v>12078</v>
      </c>
      <c r="K51" s="80">
        <f>IFERROR(M51/J51,0)</f>
        <v>214.93081495590832</v>
      </c>
      <c r="L51" s="80">
        <f>SUMIFS($R$64:$R$509,$B$64:$B$509,$B51)+SUMIFS($Q$64:$Q$509,$B$64:$B$509,$B51)</f>
        <v>-61845.214023183071</v>
      </c>
      <c r="M51" s="98">
        <f>SUMIFS($S$64:$S$509,$B$64:$B$509,$B51)</f>
        <v>2595934.3830374605</v>
      </c>
      <c r="N51" s="80">
        <f>SUMIFS($V$64:$V$509,$B$64:$B$509,$B51)-SUMIFS($W$64:$W$509,$B$64:$B$509,$B51)</f>
        <v>-339</v>
      </c>
      <c r="O51" s="80">
        <f>SUMIFS($X$64:$X$509,$B$64:$B$509,$B51)</f>
        <v>11739</v>
      </c>
      <c r="P51" s="80">
        <f>IFERROR(R51/O51,0)</f>
        <v>233.03939896821416</v>
      </c>
      <c r="Q51" s="80">
        <f>SUMIFS($Z$64:$Z$509,$B$64:$B$509,$B51)+SUMIFS($Y$64:$Y$509,$B$64:$B$509,$B51)</f>
        <v>-79761.061088338422</v>
      </c>
      <c r="R51" s="80">
        <f>SUMIFS($AA$64:$AA$509,$B$64:$B$509,$B51)</f>
        <v>2735649.5044878661</v>
      </c>
      <c r="S51" s="97">
        <f>SUMIFS($AD$64:$AD$509,$B$64:$B$509,$B51)-SUMIFS($AE$64:$AE$509,$B$64:$B$509,$B51)</f>
        <v>-471</v>
      </c>
      <c r="T51" s="80">
        <f>SUMIFS($AF$64:$AF$509,$B$64:$B$509,$B51)</f>
        <v>11268</v>
      </c>
      <c r="U51" s="80">
        <f>IFERROR(W51/T51,0)</f>
        <v>252.57163260497722</v>
      </c>
      <c r="V51" s="80">
        <f>SUMIFS($AH$64:$AH$509,$B$64:$B$509,$B51)+SUMIFS($AG$64:$AG$509,$B$64:$B$509,$B51)</f>
        <v>-118186.68449930198</v>
      </c>
      <c r="W51" s="98">
        <f>SUMIFS($AI$64:$AI$509,$B$64:$B$509,$B51)</f>
        <v>2845977.1561928834</v>
      </c>
      <c r="X51" s="80">
        <f>SUMIFS($AL$64:$AL$509,$B$64:$B$509,$B51)-SUMIFS($AM$64:$AM$509,$B$64:$B$509,$B51)</f>
        <v>-30</v>
      </c>
      <c r="Y51" s="80">
        <f>SUMIFS($AN$64:$AN$509,$B$64:$B$509,$B51)</f>
        <v>11238</v>
      </c>
      <c r="Z51" s="80">
        <f>IFERROR(AB51/Y51,0)</f>
        <v>273.28036873601405</v>
      </c>
      <c r="AA51" s="80">
        <f>SUMIFS($AP$64:$AP$509,$B$64:$B$509,$B51)+SUMIFS($AO$64:$AO$509,$B$64:$B$509,$B51)</f>
        <v>-6814.6863236980971</v>
      </c>
      <c r="AB51" s="98">
        <f>SUMIFS($AQ$64:$AQ$509,$B$64:$B$509,$B51)</f>
        <v>3071124.783855326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6693</v>
      </c>
      <c r="G52" s="192">
        <f t="shared" ref="G52:G55" si="40">IFERROR(H52/F52,"")</f>
        <v>361.723612324817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2421016.13729</v>
      </c>
      <c r="I52" s="97">
        <f>SUMIFS($N$64:$N$509,$B$64:$B$509,$B52)-SUMIFS($O$64:$O$509,$B$64:$B$509,$B52)</f>
        <v>-83</v>
      </c>
      <c r="J52" s="80">
        <f>SUMIFS($P$64:$P$509,$B$64:$B$509,$B52)</f>
        <v>6610</v>
      </c>
      <c r="K52" s="80">
        <f t="shared" ref="K52:K56" si="41">IFERROR(M52/J52,0)</f>
        <v>397.07419735053566</v>
      </c>
      <c r="L52" s="80">
        <f>SUMIFS($R$64:$R$509,$B$64:$B$509,$B52)+SUMIFS($Q$64:$Q$509,$B$64:$B$509,$B52)</f>
        <v>-13041.099397821643</v>
      </c>
      <c r="M52" s="98">
        <f>SUMIFS($S$64:$S$509,$B$64:$B$509,$B52)</f>
        <v>2624660.4444870409</v>
      </c>
      <c r="N52" s="80">
        <f>SUMIFS($V$64:$V$509,$B$64:$B$509,$B52)-SUMIFS($W$64:$W$509,$B$64:$B$509,$B52)</f>
        <v>-204</v>
      </c>
      <c r="O52" s="80">
        <f>SUMIFS($X$64:$X$509,$B$64:$B$509,$B52)</f>
        <v>6406</v>
      </c>
      <c r="P52" s="80">
        <f t="shared" ref="P52:P55" si="42">IFERROR(R52/O52,0)</f>
        <v>431.00664849491733</v>
      </c>
      <c r="Q52" s="80">
        <f>SUMIFS($Z$64:$Z$509,$B$64:$B$509,$B52)+SUMIFS($Y$64:$Y$509,$B$64:$B$509,$B52)</f>
        <v>-87510.86471409956</v>
      </c>
      <c r="R52" s="80">
        <f>SUMIFS($AA$64:$AA$509,$B$64:$B$509,$B52)</f>
        <v>2761028.5902584405</v>
      </c>
      <c r="S52" s="97">
        <f>SUMIFS($AD$64:$AD$509,$B$64:$B$509,$B52)-SUMIFS($AE$64:$AE$509,$B$64:$B$509,$B52)</f>
        <v>-239</v>
      </c>
      <c r="T52" s="80">
        <f>SUMIFS($AF$64:$AF$509,$B$64:$B$509,$B52)</f>
        <v>6167</v>
      </c>
      <c r="U52" s="80">
        <f t="shared" ref="U52:U55" si="43">IFERROR(W52/T52,0)</f>
        <v>467.99476075131969</v>
      </c>
      <c r="V52" s="80">
        <f>SUMIFS($AH$64:$AH$509,$B$64:$B$509,$B52)+SUMIFS($AG$64:$AG$509,$B$64:$B$509,$B52)</f>
        <v>-107612.62843054916</v>
      </c>
      <c r="W52" s="98">
        <f>SUMIFS($AI$64:$AI$509,$B$64:$B$509,$B52)</f>
        <v>2886123.6895533884</v>
      </c>
      <c r="X52" s="80">
        <f>SUMIFS($AL$64:$AL$509,$B$64:$B$509,$B52)-SUMIFS($AM$64:$AM$509,$B$64:$B$509,$B52)</f>
        <v>-6</v>
      </c>
      <c r="Y52" s="80">
        <f>SUMIFS($AN$64:$AN$509,$B$64:$B$509,$B52)</f>
        <v>6161</v>
      </c>
      <c r="Z52" s="80">
        <f t="shared" ref="Z52:Z55" si="44">IFERROR(AB52/Y52,0)</f>
        <v>507.03317395755533</v>
      </c>
      <c r="AA52" s="80">
        <f>SUMIFS($AP$64:$AP$509,$B$64:$B$509,$B52)+SUMIFS($AO$64:$AO$509,$B$64:$B$509,$B52)</f>
        <v>309.33356008245028</v>
      </c>
      <c r="AB52" s="98">
        <f>SUMIFS($AQ$64:$AQ$509,$B$64:$B$509,$B52)</f>
        <v>3123831.3847524985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2690</v>
      </c>
      <c r="G53" s="192">
        <f t="shared" si="40"/>
        <v>582.47622318959111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1566861.0403800001</v>
      </c>
      <c r="I53" s="97">
        <f>SUMIFS($N$64:$N$509,$B$64:$B$509,$B53)-SUMIFS($O$64:$O$509,$B$64:$B$509,$B53)</f>
        <v>-57</v>
      </c>
      <c r="J53" s="80">
        <f>SUMIFS($P$64:$P$509,$B$64:$B$509,$B53)</f>
        <v>2633</v>
      </c>
      <c r="K53" s="80">
        <f t="shared" si="41"/>
        <v>648.79792797990694</v>
      </c>
      <c r="L53" s="80">
        <f>SUMIFS($R$64:$R$509,$B$64:$B$509,$B53)+SUMIFS($Q$64:$Q$509,$B$64:$B$509,$B53)</f>
        <v>-2348.4387790230394</v>
      </c>
      <c r="M53" s="98">
        <f>SUMIFS($S$64:$S$509,$B$64:$B$509,$B53)</f>
        <v>1708284.9443710949</v>
      </c>
      <c r="N53" s="80">
        <f>SUMIFS($V$64:$V$509,$B$64:$B$509,$B53)-SUMIFS($W$64:$W$509,$B$64:$B$509,$B53)</f>
        <v>-102</v>
      </c>
      <c r="O53" s="80">
        <f>SUMIFS($X$64:$X$509,$B$64:$B$509,$B53)</f>
        <v>2531</v>
      </c>
      <c r="P53" s="80">
        <f t="shared" si="42"/>
        <v>708.4957354038894</v>
      </c>
      <c r="Q53" s="80">
        <f>SUMIFS($Z$64:$Z$509,$B$64:$B$509,$B53)+SUMIFS($Y$64:$Y$509,$B$64:$B$509,$B53)</f>
        <v>-61427.64814918011</v>
      </c>
      <c r="R53" s="80">
        <f>SUMIFS($AA$64:$AA$509,$B$64:$B$509,$B53)</f>
        <v>1793202.706307244</v>
      </c>
      <c r="S53" s="97">
        <f>SUMIFS($AD$64:$AD$509,$B$64:$B$509,$B53)-SUMIFS($AE$64:$AE$509,$B$64:$B$509,$B53)</f>
        <v>-101</v>
      </c>
      <c r="T53" s="80">
        <f>SUMIFS($AF$64:$AF$509,$B$64:$B$509,$B53)</f>
        <v>2430</v>
      </c>
      <c r="U53" s="80">
        <f t="shared" si="43"/>
        <v>777.11133672301639</v>
      </c>
      <c r="V53" s="80">
        <f>SUMIFS($AH$64:$AH$509,$B$64:$B$509,$B53)+SUMIFS($AG$64:$AG$509,$B$64:$B$509,$B53)</f>
        <v>-56621.271428802676</v>
      </c>
      <c r="W53" s="98">
        <f>SUMIFS($AI$64:$AI$509,$B$64:$B$509,$B53)</f>
        <v>1888380.5482369298</v>
      </c>
      <c r="X53" s="80">
        <f>SUMIFS($AL$64:$AL$509,$B$64:$B$509,$B53)-SUMIFS($AM$64:$AM$509,$B$64:$B$509,$B53)</f>
        <v>-5</v>
      </c>
      <c r="Y53" s="80">
        <f>SUMIFS($AN$64:$AN$509,$B$64:$B$509,$B53)</f>
        <v>2425</v>
      </c>
      <c r="Z53" s="80">
        <f t="shared" si="44"/>
        <v>849.89327010965269</v>
      </c>
      <c r="AA53" s="80">
        <f>SUMIFS($AP$64:$AP$509,$B$64:$B$509,$B53)+SUMIFS($AO$64:$AO$509,$B$64:$B$509,$B53)</f>
        <v>16588.883062285167</v>
      </c>
      <c r="AB53" s="98">
        <f>SUMIFS($AQ$64:$AQ$509,$B$64:$B$509,$B53)</f>
        <v>2060991.1800159079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390</v>
      </c>
      <c r="G54" s="192">
        <f t="shared" si="40"/>
        <v>2827.389381461539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1102681.8587700003</v>
      </c>
      <c r="I54" s="97">
        <f>SUMIFS($N$64:$N$509,$B$64:$B$509,$B54)-SUMIFS($O$64:$O$509,$B$64:$B$509,$B54)</f>
        <v>-10</v>
      </c>
      <c r="J54" s="80">
        <f>SUMIFS($P$64:$P$509,$B$64:$B$509,$B54)</f>
        <v>380</v>
      </c>
      <c r="K54" s="80">
        <f t="shared" si="41"/>
        <v>2940.5265485096829</v>
      </c>
      <c r="L54" s="80">
        <f>SUMIFS($R$64:$R$509,$B$64:$B$509,$B54)+SUMIFS($Q$64:$Q$509,$B$64:$B$509,$B54)</f>
        <v>-38451.578903431466</v>
      </c>
      <c r="M54" s="98">
        <f>SUMIFS($S$64:$S$509,$B$64:$B$509,$B54)</f>
        <v>1117400.0884336794</v>
      </c>
      <c r="N54" s="80">
        <f>SUMIFS($V$64:$V$509,$B$64:$B$509,$B54)-SUMIFS($W$64:$W$509,$B$64:$B$509,$B54)</f>
        <v>-13</v>
      </c>
      <c r="O54" s="80">
        <f>SUMIFS($X$64:$X$509,$B$64:$B$509,$B54)</f>
        <v>367</v>
      </c>
      <c r="P54" s="80">
        <f t="shared" si="42"/>
        <v>3133.9422212216591</v>
      </c>
      <c r="Q54" s="80">
        <f>SUMIFS($Z$64:$Z$509,$B$64:$B$509,$B54)+SUMIFS($Y$64:$Y$509,$B$64:$B$509,$B54)</f>
        <v>-51735.664629409628</v>
      </c>
      <c r="R54" s="80">
        <f>SUMIFS($AA$64:$AA$509,$B$64:$B$509,$B54)</f>
        <v>1150156.795188349</v>
      </c>
      <c r="S54" s="97">
        <f>SUMIFS($AD$64:$AD$509,$B$64:$B$509,$B54)-SUMIFS($AE$64:$AE$509,$B$64:$B$509,$B54)</f>
        <v>-14</v>
      </c>
      <c r="T54" s="80">
        <f>SUMIFS($AF$64:$AF$509,$B$64:$B$509,$B54)</f>
        <v>353</v>
      </c>
      <c r="U54" s="80">
        <f t="shared" si="43"/>
        <v>3362.3266646065204</v>
      </c>
      <c r="V54" s="80">
        <f>SUMIFS($AH$64:$AH$509,$B$64:$B$509,$B54)+SUMIFS($AG$64:$AG$509,$B$64:$B$509,$B54)</f>
        <v>-49055.582291477403</v>
      </c>
      <c r="W54" s="98">
        <f>SUMIFS($AI$64:$AI$509,$B$64:$B$509,$B54)</f>
        <v>1186901.3126061016</v>
      </c>
      <c r="X54" s="80">
        <f>SUMIFS($AL$64:$AL$509,$B$64:$B$509,$B54)-SUMIFS($AM$64:$AM$509,$B$64:$B$509,$B54)</f>
        <v>-14</v>
      </c>
      <c r="Y54" s="80">
        <f>SUMIFS($AN$64:$AN$509,$B$64:$B$509,$B54)</f>
        <v>339</v>
      </c>
      <c r="Z54" s="80">
        <f t="shared" si="44"/>
        <v>3634.3233899305255</v>
      </c>
      <c r="AA54" s="80">
        <f>SUMIFS($AP$64:$AP$509,$B$64:$B$509,$B54)+SUMIFS($AO$64:$AO$509,$B$64:$B$509,$B54)</f>
        <v>-40995.870937639767</v>
      </c>
      <c r="AB54" s="98">
        <f>SUMIFS($AQ$64:$AQ$509,$B$64:$B$509,$B54)</f>
        <v>1232035.6291864482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2190</v>
      </c>
      <c r="G55" s="192">
        <f t="shared" si="40"/>
        <v>782.71004566210047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1714135</v>
      </c>
      <c r="I55" s="101">
        <f>SUMIFS($N$64:$N$509,$B$64:$B$509,$B55)-SUMIFS($O$64:$O$509,$B$64:$B$509,$B55)</f>
        <v>310</v>
      </c>
      <c r="J55" s="102">
        <f>SUMIFS($P$64:$P$509,$B$64:$B$509,$B55)</f>
        <v>2500</v>
      </c>
      <c r="K55" s="102">
        <f t="shared" si="41"/>
        <v>770.81353783477107</v>
      </c>
      <c r="L55" s="102">
        <f>SUMIFS($R$64:$R$509,$B$64:$B$509,$B55)+SUMIFS($Q$64:$Q$509,$B$64:$B$509,$B55)</f>
        <v>156332.38958692775</v>
      </c>
      <c r="M55" s="103">
        <f>SUMIFS($S$64:$S$509,$B$64:$B$509,$B55)</f>
        <v>1927033.8445869277</v>
      </c>
      <c r="N55" s="80">
        <f>SUMIFS($V$64:$V$509,$B$64:$B$509,$B55)-SUMIFS($W$64:$W$509,$B$64:$B$509,$B55)</f>
        <v>-25</v>
      </c>
      <c r="O55" s="80">
        <f>SUMIFS($X$64:$X$509,$B$64:$B$509,$B55)</f>
        <v>2475</v>
      </c>
      <c r="P55" s="80">
        <f t="shared" si="42"/>
        <v>815.35560256310055</v>
      </c>
      <c r="Q55" s="80">
        <f>SUMIFS($Z$64:$Z$509,$B$64:$B$509,$B55)+SUMIFS($Y$64:$Y$509,$B$64:$B$509,$B55)</f>
        <v>-24650.758918469655</v>
      </c>
      <c r="R55" s="80">
        <f>SUMIFS($AA$64:$AA$509,$B$64:$B$509,$B55)</f>
        <v>2018005.1163436738</v>
      </c>
      <c r="S55" s="101">
        <f>SUMIFS($AD$64:$AD$509,$B$64:$B$509,$B55)-SUMIFS($AE$64:$AE$509,$B$64:$B$509,$B55)</f>
        <v>-2</v>
      </c>
      <c r="T55" s="102">
        <f>SUMIFS($AF$64:$AF$509,$B$64:$B$509,$B55)</f>
        <v>2473</v>
      </c>
      <c r="U55" s="102">
        <f t="shared" si="43"/>
        <v>863.31540877977272</v>
      </c>
      <c r="V55" s="102">
        <f>SUMIFS($AH$64:$AH$509,$B$64:$B$509,$B55)+SUMIFS($AG$64:$AG$509,$B$64:$B$509,$B55)</f>
        <v>-2088.4122955727494</v>
      </c>
      <c r="W55" s="103">
        <f>SUMIFS($AI$64:$AI$509,$B$64:$B$509,$B55)</f>
        <v>2134979.005912378</v>
      </c>
      <c r="X55" s="80">
        <f>SUMIFS($AL$64:$AL$509,$B$64:$B$509,$B55)-SUMIFS($AM$64:$AM$509,$B$64:$B$509,$B55)</f>
        <v>39</v>
      </c>
      <c r="Y55" s="80">
        <f>SUMIFS($AN$64:$AN$509,$B$64:$B$509,$B55)</f>
        <v>2512</v>
      </c>
      <c r="Z55" s="80">
        <f t="shared" si="44"/>
        <v>915.49288187881416</v>
      </c>
      <c r="AA55" s="80">
        <f>SUMIFS($AP$64:$AP$509,$B$64:$B$509,$B55)+SUMIFS($AO$64:$AO$509,$B$64:$B$509,$B55)</f>
        <v>43045.310030197725</v>
      </c>
      <c r="AB55" s="98">
        <f>SUMIFS($AQ$64:$AQ$509,$B$64:$B$509,$B55)</f>
        <v>2299718.1192795811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24308</v>
      </c>
      <c r="G56" s="92">
        <f t="shared" ref="G56" si="45">IFERROR(H56/F56,0)</f>
        <v>380.53355346717132</v>
      </c>
      <c r="H56" s="92">
        <f>SUM(H51:H55)</f>
        <v>9250009.6176800001</v>
      </c>
      <c r="I56" s="92">
        <f>SUM(I51:I55)</f>
        <v>-107</v>
      </c>
      <c r="J56" s="92">
        <f>SUM(J51:J55)</f>
        <v>24201</v>
      </c>
      <c r="K56" s="92">
        <f t="shared" si="41"/>
        <v>412.10337196463797</v>
      </c>
      <c r="L56" s="92">
        <f>SUM(L51:L55)</f>
        <v>40646.058483468529</v>
      </c>
      <c r="M56" s="92">
        <f>SUM(M51:M55)</f>
        <v>9973313.7049162034</v>
      </c>
      <c r="N56" s="92">
        <f t="shared" ref="N56:O56" si="46">SUM(N51:N55)</f>
        <v>-683</v>
      </c>
      <c r="O56" s="92">
        <f t="shared" si="46"/>
        <v>23518</v>
      </c>
      <c r="P56" s="92">
        <f>IFERROR(R56/O56,0)</f>
        <v>444.68248629073781</v>
      </c>
      <c r="Q56" s="92">
        <f t="shared" ref="Q56" si="47">SUM(Q51:Q55)</f>
        <v>-305085.99749949737</v>
      </c>
      <c r="R56" s="92">
        <f t="shared" ref="R56:T56" si="48">SUM(R51:R55)</f>
        <v>10458042.712585572</v>
      </c>
      <c r="S56" s="92">
        <f t="shared" si="48"/>
        <v>-827</v>
      </c>
      <c r="T56" s="92">
        <f t="shared" si="48"/>
        <v>22691</v>
      </c>
      <c r="U56" s="92">
        <f>IFERROR(W56/T56,0)</f>
        <v>482.2335601120127</v>
      </c>
      <c r="V56" s="92">
        <f t="shared" ref="V56" si="49">SUM(V51:V55)</f>
        <v>-333564.57894570398</v>
      </c>
      <c r="W56" s="92">
        <f t="shared" ref="W56:Y56" si="50">SUM(W51:W55)</f>
        <v>10942361.71250168</v>
      </c>
      <c r="X56" s="92">
        <f t="shared" si="50"/>
        <v>-16</v>
      </c>
      <c r="Y56" s="92">
        <f t="shared" si="50"/>
        <v>22675</v>
      </c>
      <c r="Z56" s="92">
        <f>IFERROR(AB56/Y56,0)</f>
        <v>519.85451365335211</v>
      </c>
      <c r="AA56" s="92">
        <f t="shared" ref="AA56" si="51">SUM(AA51:AA55)</f>
        <v>12132.969391227478</v>
      </c>
      <c r="AB56" s="104">
        <f t="shared" ref="AB56" si="52">SUM(AB51:AB55)</f>
        <v>11787701.09708976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278</v>
      </c>
      <c r="G64" s="35">
        <f>SUMIFS(WORKING!$AC$3:$AC$6802,WORKING!$A$3:$A$6802,Results!$D$3,WORKING!$B$3:$B$6802,Results!A64,WORKING!$C$3:$C$6802,Results!C64)/1000</f>
        <v>6812.0784899999999</v>
      </c>
      <c r="H64" s="35">
        <f>IFERROR(G64/F64,0)</f>
        <v>24.503879460431655</v>
      </c>
      <c r="I64" s="156">
        <v>0</v>
      </c>
      <c r="J64" s="211">
        <v>0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26.761554548745323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29.064264283983821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31.535611587113237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34.15308162653097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9</v>
      </c>
      <c r="G65" s="35">
        <f>SUMIFS(WORKING!$AC$3:$AC$6802,WORKING!$A$3:$A$6802,Results!$D$3,WORKING!$B$3:$B$6802,Results!A65,WORKING!$C$3:$C$6802,Results!C65)/1000</f>
        <v>756.53625999999997</v>
      </c>
      <c r="H65" s="35">
        <f t="shared" ref="H65:H80" si="60">IFERROR(G65/F65,0)</f>
        <v>84.05958444444444</v>
      </c>
      <c r="I65" s="187">
        <v>0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91.803853010022223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99.702508565839963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108.17955475146401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117.15774607063413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48</v>
      </c>
      <c r="G66" s="35">
        <f>SUMIFS(WORKING!$AC$3:$AC$6802,WORKING!$A$3:$A$6802,Results!$D$3,WORKING!$B$3:$B$6802,Results!A66,WORKING!$C$3:$C$6802,Results!C66)/1000</f>
        <v>6166.0842000000011</v>
      </c>
      <c r="H66" s="35">
        <f t="shared" si="60"/>
        <v>128.46008750000001</v>
      </c>
      <c r="I66" s="187">
        <v>40</v>
      </c>
      <c r="J66" s="212">
        <v>6160</v>
      </c>
      <c r="K66" s="217">
        <f t="shared" si="61"/>
        <v>154</v>
      </c>
      <c r="L66" s="34">
        <f t="shared" si="54"/>
        <v>40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167.16824922744729</v>
      </c>
      <c r="N66" s="57">
        <v>0</v>
      </c>
      <c r="O66" s="57">
        <v>0</v>
      </c>
      <c r="P66" s="61">
        <f t="shared" si="55"/>
        <v>40</v>
      </c>
      <c r="Q66" s="40">
        <f t="shared" si="62"/>
        <v>0</v>
      </c>
      <c r="R66" s="40">
        <f t="shared" si="63"/>
        <v>0</v>
      </c>
      <c r="S66" s="44">
        <f t="shared" si="64"/>
        <v>6686.7299690978916</v>
      </c>
      <c r="T66" s="35">
        <f t="shared" si="65"/>
        <v>40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181.23754714113616</v>
      </c>
      <c r="V66" s="57">
        <v>0</v>
      </c>
      <c r="W66" s="57">
        <v>0</v>
      </c>
      <c r="X66" s="61">
        <f t="shared" si="56"/>
        <v>40</v>
      </c>
      <c r="Y66" s="40">
        <f t="shared" si="66"/>
        <v>0</v>
      </c>
      <c r="Z66" s="40">
        <f t="shared" si="67"/>
        <v>0</v>
      </c>
      <c r="AA66" s="44">
        <f t="shared" si="68"/>
        <v>7249.5018856454462</v>
      </c>
      <c r="AB66" s="35">
        <f t="shared" si="69"/>
        <v>40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196.30734370864508</v>
      </c>
      <c r="AD66" s="57">
        <v>0</v>
      </c>
      <c r="AE66" s="57">
        <v>0</v>
      </c>
      <c r="AF66" s="61">
        <f t="shared" si="57"/>
        <v>40</v>
      </c>
      <c r="AG66" s="40">
        <f t="shared" si="70"/>
        <v>0</v>
      </c>
      <c r="AH66" s="40">
        <f t="shared" si="71"/>
        <v>0</v>
      </c>
      <c r="AI66" s="44">
        <f t="shared" si="72"/>
        <v>7852.2937483458027</v>
      </c>
      <c r="AJ66" s="35">
        <f t="shared" si="58"/>
        <v>40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212.23243389975033</v>
      </c>
      <c r="AL66" s="57">
        <v>0</v>
      </c>
      <c r="AM66" s="57">
        <v>0</v>
      </c>
      <c r="AN66" s="61">
        <f t="shared" si="59"/>
        <v>40</v>
      </c>
      <c r="AO66" s="40">
        <f t="shared" si="73"/>
        <v>0</v>
      </c>
      <c r="AP66" s="40">
        <f t="shared" si="74"/>
        <v>0</v>
      </c>
      <c r="AQ66" s="44">
        <f t="shared" si="75"/>
        <v>8489.2973559900129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14</v>
      </c>
      <c r="G67" s="35">
        <f>SUMIFS(WORKING!$AC$3:$AC$6802,WORKING!$A$3:$A$6802,Results!$D$3,WORKING!$B$3:$B$6802,Results!A67,WORKING!$C$3:$C$6802,Results!C67)/1000</f>
        <v>2480.2123799999999</v>
      </c>
      <c r="H67" s="35">
        <f t="shared" si="60"/>
        <v>177.15802714285715</v>
      </c>
      <c r="I67" s="187">
        <v>14</v>
      </c>
      <c r="J67" s="212">
        <v>2480</v>
      </c>
      <c r="K67" s="217">
        <f t="shared" si="61"/>
        <v>177.14285714285714</v>
      </c>
      <c r="L67" s="34">
        <f t="shared" si="54"/>
        <v>14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192.38442373521681</v>
      </c>
      <c r="N67" s="57">
        <v>1</v>
      </c>
      <c r="O67" s="57">
        <v>0</v>
      </c>
      <c r="P67" s="61">
        <f t="shared" si="55"/>
        <v>15</v>
      </c>
      <c r="Q67" s="40">
        <f t="shared" si="62"/>
        <v>192.38442373521681</v>
      </c>
      <c r="R67" s="40">
        <f t="shared" si="63"/>
        <v>0</v>
      </c>
      <c r="S67" s="44">
        <f t="shared" si="64"/>
        <v>2885.7663560282522</v>
      </c>
      <c r="T67" s="35">
        <f t="shared" si="65"/>
        <v>15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208.60505905765032</v>
      </c>
      <c r="V67" s="57">
        <v>0</v>
      </c>
      <c r="W67" s="57">
        <v>0</v>
      </c>
      <c r="X67" s="61">
        <f t="shared" si="56"/>
        <v>15</v>
      </c>
      <c r="Y67" s="40">
        <f t="shared" si="66"/>
        <v>0</v>
      </c>
      <c r="Z67" s="40">
        <f t="shared" si="67"/>
        <v>0</v>
      </c>
      <c r="AA67" s="44">
        <f t="shared" si="68"/>
        <v>3129.075885864755</v>
      </c>
      <c r="AB67" s="35">
        <f t="shared" si="69"/>
        <v>15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225.98195891246692</v>
      </c>
      <c r="AD67" s="57">
        <v>0</v>
      </c>
      <c r="AE67" s="57">
        <v>0</v>
      </c>
      <c r="AF67" s="61">
        <f t="shared" si="57"/>
        <v>15</v>
      </c>
      <c r="AG67" s="40">
        <f t="shared" si="70"/>
        <v>0</v>
      </c>
      <c r="AH67" s="40">
        <f t="shared" si="71"/>
        <v>0</v>
      </c>
      <c r="AI67" s="44">
        <f t="shared" si="72"/>
        <v>3389.729383687004</v>
      </c>
      <c r="AJ67" s="35">
        <f t="shared" si="58"/>
        <v>15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244.34843723904496</v>
      </c>
      <c r="AL67" s="57">
        <v>0</v>
      </c>
      <c r="AM67" s="57">
        <v>0</v>
      </c>
      <c r="AN67" s="61">
        <f t="shared" si="59"/>
        <v>15</v>
      </c>
      <c r="AO67" s="40">
        <f t="shared" si="73"/>
        <v>0</v>
      </c>
      <c r="AP67" s="40">
        <f t="shared" si="74"/>
        <v>0</v>
      </c>
      <c r="AQ67" s="44">
        <f t="shared" si="75"/>
        <v>3665.2265585856744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273</v>
      </c>
      <c r="G68" s="35">
        <f>SUMIFS(WORKING!$AC$3:$AC$6802,WORKING!$A$3:$A$6802,Results!$D$3,WORKING!$B$3:$B$6802,Results!A68,WORKING!$C$3:$C$6802,Results!C68)/1000</f>
        <v>55269.445550000011</v>
      </c>
      <c r="H68" s="35">
        <f t="shared" si="60"/>
        <v>202.45218150183155</v>
      </c>
      <c r="I68" s="187">
        <v>268</v>
      </c>
      <c r="J68" s="212">
        <v>55176</v>
      </c>
      <c r="K68" s="217">
        <f t="shared" si="61"/>
        <v>205.88059701492537</v>
      </c>
      <c r="L68" s="34">
        <f t="shared" si="54"/>
        <v>268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223.85450020153365</v>
      </c>
      <c r="N68" s="57">
        <v>0</v>
      </c>
      <c r="O68" s="57">
        <v>50</v>
      </c>
      <c r="P68" s="61">
        <f t="shared" si="55"/>
        <v>218</v>
      </c>
      <c r="Q68" s="40">
        <f t="shared" si="62"/>
        <v>0</v>
      </c>
      <c r="R68" s="40">
        <f t="shared" si="63"/>
        <v>-11192.725010076683</v>
      </c>
      <c r="S68" s="44">
        <f t="shared" si="64"/>
        <v>48800.281043934338</v>
      </c>
      <c r="T68" s="35">
        <f t="shared" si="65"/>
        <v>218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242.80773298070929</v>
      </c>
      <c r="V68" s="57">
        <v>0</v>
      </c>
      <c r="W68" s="57">
        <v>35</v>
      </c>
      <c r="X68" s="61">
        <f t="shared" si="56"/>
        <v>183</v>
      </c>
      <c r="Y68" s="40">
        <f t="shared" si="66"/>
        <v>0</v>
      </c>
      <c r="Z68" s="40">
        <f t="shared" si="67"/>
        <v>-8498.270654324826</v>
      </c>
      <c r="AA68" s="44">
        <f t="shared" si="68"/>
        <v>44433.815135469798</v>
      </c>
      <c r="AB68" s="35">
        <f t="shared" si="69"/>
        <v>183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263.11965000370895</v>
      </c>
      <c r="AD68" s="57">
        <v>0</v>
      </c>
      <c r="AE68" s="57">
        <v>36</v>
      </c>
      <c r="AF68" s="61">
        <f t="shared" si="57"/>
        <v>147</v>
      </c>
      <c r="AG68" s="40">
        <f t="shared" si="70"/>
        <v>0</v>
      </c>
      <c r="AH68" s="40">
        <f t="shared" si="71"/>
        <v>-9472.3074001335226</v>
      </c>
      <c r="AI68" s="44">
        <f t="shared" si="72"/>
        <v>38678.588550545217</v>
      </c>
      <c r="AJ68" s="35">
        <f t="shared" si="58"/>
        <v>147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284.5974993156068</v>
      </c>
      <c r="AL68" s="57">
        <v>0</v>
      </c>
      <c r="AM68" s="57">
        <v>37</v>
      </c>
      <c r="AN68" s="61">
        <f t="shared" si="59"/>
        <v>110</v>
      </c>
      <c r="AO68" s="40">
        <f t="shared" si="73"/>
        <v>0</v>
      </c>
      <c r="AP68" s="40">
        <f t="shared" si="74"/>
        <v>-10530.107474677452</v>
      </c>
      <c r="AQ68" s="44">
        <f t="shared" si="75"/>
        <v>31305.724924716749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29</v>
      </c>
      <c r="G69" s="35">
        <f>SUMIFS(WORKING!$AC$3:$AC$6802,WORKING!$A$3:$A$6802,Results!$D$3,WORKING!$B$3:$B$6802,Results!A69,WORKING!$C$3:$C$6802,Results!C69)/1000</f>
        <v>12906.232889999999</v>
      </c>
      <c r="H69" s="35">
        <f t="shared" si="60"/>
        <v>445.04251344827583</v>
      </c>
      <c r="I69" s="187">
        <v>52</v>
      </c>
      <c r="J69" s="212">
        <v>12986</v>
      </c>
      <c r="K69" s="217">
        <f t="shared" si="61"/>
        <v>249.73076923076923</v>
      </c>
      <c r="L69" s="34">
        <f t="shared" si="54"/>
        <v>52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271.75499904690014</v>
      </c>
      <c r="N69" s="57">
        <v>1</v>
      </c>
      <c r="O69" s="57">
        <v>0</v>
      </c>
      <c r="P69" s="61">
        <f t="shared" si="55"/>
        <v>53</v>
      </c>
      <c r="Q69" s="40">
        <f t="shared" si="62"/>
        <v>271.75499904690014</v>
      </c>
      <c r="R69" s="40">
        <f t="shared" si="63"/>
        <v>0</v>
      </c>
      <c r="S69" s="44">
        <f t="shared" si="64"/>
        <v>14403.014949485707</v>
      </c>
      <c r="T69" s="35">
        <f t="shared" si="65"/>
        <v>53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294.83241306791285</v>
      </c>
      <c r="V69" s="57">
        <v>0</v>
      </c>
      <c r="W69" s="57">
        <v>0</v>
      </c>
      <c r="X69" s="61">
        <f t="shared" si="56"/>
        <v>53</v>
      </c>
      <c r="Y69" s="40">
        <f t="shared" si="66"/>
        <v>0</v>
      </c>
      <c r="Z69" s="40">
        <f t="shared" si="67"/>
        <v>0</v>
      </c>
      <c r="AA69" s="44">
        <f t="shared" si="68"/>
        <v>15626.117892599381</v>
      </c>
      <c r="AB69" s="35">
        <f t="shared" si="69"/>
        <v>53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319.57074293709809</v>
      </c>
      <c r="AD69" s="57">
        <v>0</v>
      </c>
      <c r="AE69" s="57">
        <v>0</v>
      </c>
      <c r="AF69" s="61">
        <f t="shared" si="57"/>
        <v>53</v>
      </c>
      <c r="AG69" s="40">
        <f t="shared" si="70"/>
        <v>0</v>
      </c>
      <c r="AH69" s="40">
        <f t="shared" si="71"/>
        <v>0</v>
      </c>
      <c r="AI69" s="44">
        <f t="shared" si="72"/>
        <v>16937.249375666197</v>
      </c>
      <c r="AJ69" s="35">
        <f t="shared" si="58"/>
        <v>53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345.73699925498448</v>
      </c>
      <c r="AL69" s="57">
        <v>0</v>
      </c>
      <c r="AM69" s="57">
        <v>3</v>
      </c>
      <c r="AN69" s="61">
        <f t="shared" si="59"/>
        <v>50</v>
      </c>
      <c r="AO69" s="40">
        <f t="shared" si="73"/>
        <v>0</v>
      </c>
      <c r="AP69" s="40">
        <f t="shared" si="74"/>
        <v>-1037.2109977649534</v>
      </c>
      <c r="AQ69" s="44">
        <f t="shared" si="75"/>
        <v>17286.849962749224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195</v>
      </c>
      <c r="G70" s="35">
        <f>SUMIFS(WORKING!$AC$3:$AC$6802,WORKING!$A$3:$A$6802,Results!$D$3,WORKING!$B$3:$B$6802,Results!A70,WORKING!$C$3:$C$6802,Results!C70)/1000</f>
        <v>62538.776589999994</v>
      </c>
      <c r="H70" s="35">
        <f t="shared" si="60"/>
        <v>320.71167482051277</v>
      </c>
      <c r="I70" s="187">
        <v>222</v>
      </c>
      <c r="J70" s="212">
        <v>62604</v>
      </c>
      <c r="K70" s="217">
        <f t="shared" si="61"/>
        <v>282</v>
      </c>
      <c r="L70" s="34">
        <f t="shared" si="54"/>
        <v>222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306.98439256867812</v>
      </c>
      <c r="N70" s="57">
        <v>17</v>
      </c>
      <c r="O70" s="57">
        <v>2</v>
      </c>
      <c r="P70" s="61">
        <f t="shared" si="55"/>
        <v>237</v>
      </c>
      <c r="Q70" s="40">
        <f t="shared" si="62"/>
        <v>5218.7346736675281</v>
      </c>
      <c r="R70" s="40">
        <f t="shared" si="63"/>
        <v>-613.96878513735624</v>
      </c>
      <c r="S70" s="44">
        <f t="shared" si="64"/>
        <v>72755.301038776714</v>
      </c>
      <c r="T70" s="35">
        <f t="shared" si="65"/>
        <v>237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333.08984596179067</v>
      </c>
      <c r="V70" s="57">
        <v>0</v>
      </c>
      <c r="W70" s="57">
        <v>2</v>
      </c>
      <c r="X70" s="61">
        <f t="shared" si="56"/>
        <v>235</v>
      </c>
      <c r="Y70" s="40">
        <f t="shared" si="66"/>
        <v>0</v>
      </c>
      <c r="Z70" s="40">
        <f t="shared" si="67"/>
        <v>-666.17969192358134</v>
      </c>
      <c r="AA70" s="44">
        <f t="shared" si="68"/>
        <v>78276.113801020809</v>
      </c>
      <c r="AB70" s="35">
        <f t="shared" si="69"/>
        <v>235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361.07758691381997</v>
      </c>
      <c r="AD70" s="57">
        <v>0</v>
      </c>
      <c r="AE70" s="57">
        <v>6</v>
      </c>
      <c r="AF70" s="61">
        <f t="shared" si="57"/>
        <v>229</v>
      </c>
      <c r="AG70" s="40">
        <f t="shared" si="70"/>
        <v>0</v>
      </c>
      <c r="AH70" s="40">
        <f t="shared" si="71"/>
        <v>-2166.4655214829199</v>
      </c>
      <c r="AI70" s="44">
        <f t="shared" si="72"/>
        <v>82686.767403264777</v>
      </c>
      <c r="AJ70" s="35">
        <f t="shared" si="58"/>
        <v>229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390.6848846542095</v>
      </c>
      <c r="AL70" s="57">
        <v>0</v>
      </c>
      <c r="AM70" s="57">
        <v>5</v>
      </c>
      <c r="AN70" s="61">
        <f t="shared" si="59"/>
        <v>224</v>
      </c>
      <c r="AO70" s="40">
        <f t="shared" si="73"/>
        <v>0</v>
      </c>
      <c r="AP70" s="40">
        <f t="shared" si="74"/>
        <v>-1953.4244232710475</v>
      </c>
      <c r="AQ70" s="44">
        <f t="shared" si="75"/>
        <v>87513.414162542933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133</v>
      </c>
      <c r="G71" s="35">
        <f>SUMIFS(WORKING!$AC$3:$AC$6802,WORKING!$A$3:$A$6802,Results!$D$3,WORKING!$B$3:$B$6802,Results!A71,WORKING!$C$3:$C$6802,Results!C71)/1000</f>
        <v>51483.573699999994</v>
      </c>
      <c r="H71" s="35">
        <f>IFERROR(G71/F71,0)</f>
        <v>387.0945390977443</v>
      </c>
      <c r="I71" s="187">
        <v>151</v>
      </c>
      <c r="J71" s="212">
        <v>51491</v>
      </c>
      <c r="K71" s="217">
        <f t="shared" si="61"/>
        <v>341</v>
      </c>
      <c r="L71" s="34">
        <f t="shared" si="54"/>
        <v>151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371.37693108283594</v>
      </c>
      <c r="N71" s="57">
        <v>9</v>
      </c>
      <c r="O71" s="57">
        <v>0</v>
      </c>
      <c r="P71" s="61">
        <f t="shared" si="55"/>
        <v>160</v>
      </c>
      <c r="Q71" s="40">
        <f t="shared" si="62"/>
        <v>3342.3923797455236</v>
      </c>
      <c r="R71" s="40">
        <f t="shared" si="63"/>
        <v>0</v>
      </c>
      <c r="S71" s="44">
        <f t="shared" si="64"/>
        <v>59420.308973253748</v>
      </c>
      <c r="T71" s="35">
        <f t="shared" si="65"/>
        <v>160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403.00981418810034</v>
      </c>
      <c r="V71" s="57">
        <v>0</v>
      </c>
      <c r="W71" s="57">
        <v>1</v>
      </c>
      <c r="X71" s="61">
        <f t="shared" si="56"/>
        <v>159</v>
      </c>
      <c r="Y71" s="40">
        <f t="shared" si="66"/>
        <v>0</v>
      </c>
      <c r="Z71" s="40">
        <f t="shared" si="67"/>
        <v>-403.00981418810034</v>
      </c>
      <c r="AA71" s="44">
        <f t="shared" si="68"/>
        <v>64078.560455907951</v>
      </c>
      <c r="AB71" s="35">
        <f t="shared" si="69"/>
        <v>159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436.92846630528084</v>
      </c>
      <c r="AD71" s="57">
        <v>0</v>
      </c>
      <c r="AE71" s="57">
        <v>1</v>
      </c>
      <c r="AF71" s="61">
        <f t="shared" si="57"/>
        <v>158</v>
      </c>
      <c r="AG71" s="40">
        <f t="shared" si="70"/>
        <v>0</v>
      </c>
      <c r="AH71" s="40">
        <f t="shared" si="71"/>
        <v>-436.92846630528084</v>
      </c>
      <c r="AI71" s="44">
        <f t="shared" si="72"/>
        <v>69034.697676234369</v>
      </c>
      <c r="AJ71" s="35">
        <f t="shared" si="58"/>
        <v>158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472.81577247321752</v>
      </c>
      <c r="AL71" s="57">
        <v>0</v>
      </c>
      <c r="AM71" s="57">
        <v>5</v>
      </c>
      <c r="AN71" s="61">
        <f t="shared" si="59"/>
        <v>153</v>
      </c>
      <c r="AO71" s="40">
        <f t="shared" si="73"/>
        <v>0</v>
      </c>
      <c r="AP71" s="40">
        <f t="shared" si="74"/>
        <v>-2364.0788623660874</v>
      </c>
      <c r="AQ71" s="44">
        <f t="shared" si="75"/>
        <v>72340.813188402288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111</v>
      </c>
      <c r="G72" s="35">
        <f>SUMIFS(WORKING!$AC$3:$AC$6802,WORKING!$A$3:$A$6802,Results!$D$3,WORKING!$B$3:$B$6802,Results!A72,WORKING!$C$3:$C$6802,Results!C72)/1000</f>
        <v>52687.439560000021</v>
      </c>
      <c r="H72" s="35">
        <f t="shared" si="60"/>
        <v>474.66161765765787</v>
      </c>
      <c r="I72" s="187">
        <v>133</v>
      </c>
      <c r="J72" s="212">
        <v>57695</v>
      </c>
      <c r="K72" s="217">
        <f>IFERROR(IF(J72="",G72,J72)/IF(I72="",F72,I72),"")</f>
        <v>433.79699248120301</v>
      </c>
      <c r="L72" s="34">
        <f t="shared" si="54"/>
        <v>133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472.71941821396786</v>
      </c>
      <c r="N72" s="57">
        <v>12</v>
      </c>
      <c r="O72" s="57">
        <v>2</v>
      </c>
      <c r="P72" s="61">
        <f t="shared" si="55"/>
        <v>143</v>
      </c>
      <c r="Q72" s="40">
        <f t="shared" si="62"/>
        <v>5672.6330185676143</v>
      </c>
      <c r="R72" s="40">
        <f t="shared" si="63"/>
        <v>-945.43883642793571</v>
      </c>
      <c r="S72" s="44">
        <f t="shared" si="64"/>
        <v>67598.876804597399</v>
      </c>
      <c r="T72" s="35">
        <f t="shared" si="65"/>
        <v>143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513.07021045622946</v>
      </c>
      <c r="V72" s="57">
        <v>0</v>
      </c>
      <c r="W72" s="57">
        <v>0</v>
      </c>
      <c r="X72" s="61">
        <f t="shared" si="56"/>
        <v>143</v>
      </c>
      <c r="Y72" s="40">
        <f t="shared" si="66"/>
        <v>0</v>
      </c>
      <c r="Z72" s="40">
        <f t="shared" si="67"/>
        <v>0</v>
      </c>
      <c r="AA72" s="44">
        <f t="shared" si="68"/>
        <v>73369.040095240809</v>
      </c>
      <c r="AB72" s="35">
        <f t="shared" si="69"/>
        <v>143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556.34500666890187</v>
      </c>
      <c r="AD72" s="57">
        <v>0</v>
      </c>
      <c r="AE72" s="57">
        <v>4</v>
      </c>
      <c r="AF72" s="61">
        <f t="shared" si="57"/>
        <v>139</v>
      </c>
      <c r="AG72" s="40">
        <f t="shared" si="70"/>
        <v>0</v>
      </c>
      <c r="AH72" s="40">
        <f t="shared" si="71"/>
        <v>-2225.3800266756075</v>
      </c>
      <c r="AI72" s="44">
        <f t="shared" si="72"/>
        <v>77331.95592697736</v>
      </c>
      <c r="AJ72" s="35">
        <f t="shared" si="58"/>
        <v>139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602.14145051207015</v>
      </c>
      <c r="AL72" s="57">
        <v>0</v>
      </c>
      <c r="AM72" s="57">
        <v>6</v>
      </c>
      <c r="AN72" s="61">
        <f t="shared" si="59"/>
        <v>133</v>
      </c>
      <c r="AO72" s="40">
        <f t="shared" si="73"/>
        <v>0</v>
      </c>
      <c r="AP72" s="40">
        <f t="shared" si="74"/>
        <v>-3612.8487030724209</v>
      </c>
      <c r="AQ72" s="44">
        <f t="shared" si="75"/>
        <v>80084.812918105337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32</v>
      </c>
      <c r="G73" s="35">
        <f>SUMIFS(WORKING!$AC$3:$AC$6802,WORKING!$A$3:$A$6802,Results!$D$3,WORKING!$B$3:$B$6802,Results!A73,WORKING!$C$3:$C$6802,Results!C73)/1000</f>
        <v>26301.548700000003</v>
      </c>
      <c r="H73" s="35">
        <f t="shared" si="60"/>
        <v>821.92339687500009</v>
      </c>
      <c r="I73" s="187">
        <v>48</v>
      </c>
      <c r="J73" s="212">
        <v>26304</v>
      </c>
      <c r="K73" s="217">
        <f t="shared" si="61"/>
        <v>548</v>
      </c>
      <c r="L73" s="34">
        <f t="shared" si="54"/>
        <v>48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597.41201146746766</v>
      </c>
      <c r="N73" s="57">
        <v>3</v>
      </c>
      <c r="O73" s="57">
        <v>0</v>
      </c>
      <c r="P73" s="61">
        <f t="shared" si="55"/>
        <v>51</v>
      </c>
      <c r="Q73" s="40">
        <f t="shared" si="62"/>
        <v>1792.236034402403</v>
      </c>
      <c r="R73" s="40">
        <f t="shared" si="63"/>
        <v>0</v>
      </c>
      <c r="S73" s="44">
        <f t="shared" si="64"/>
        <v>30468.01258484085</v>
      </c>
      <c r="T73" s="35">
        <f t="shared" si="65"/>
        <v>51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648.48125826403577</v>
      </c>
      <c r="V73" s="57">
        <v>0</v>
      </c>
      <c r="W73" s="57">
        <v>1</v>
      </c>
      <c r="X73" s="61">
        <f t="shared" si="56"/>
        <v>50</v>
      </c>
      <c r="Y73" s="40">
        <f t="shared" si="66"/>
        <v>0</v>
      </c>
      <c r="Z73" s="40">
        <f t="shared" si="67"/>
        <v>-648.48125826403577</v>
      </c>
      <c r="AA73" s="44">
        <f t="shared" si="68"/>
        <v>32424.062913201789</v>
      </c>
      <c r="AB73" s="35">
        <f t="shared" si="69"/>
        <v>50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703.25844597753485</v>
      </c>
      <c r="AD73" s="57">
        <v>0</v>
      </c>
      <c r="AE73" s="57">
        <v>1</v>
      </c>
      <c r="AF73" s="61">
        <f t="shared" si="57"/>
        <v>49</v>
      </c>
      <c r="AG73" s="40">
        <f t="shared" si="70"/>
        <v>0</v>
      </c>
      <c r="AH73" s="40">
        <f t="shared" si="71"/>
        <v>-703.25844597753485</v>
      </c>
      <c r="AI73" s="44">
        <f t="shared" si="72"/>
        <v>34459.663852899204</v>
      </c>
      <c r="AJ73" s="35">
        <f t="shared" si="58"/>
        <v>49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761.23621553865109</v>
      </c>
      <c r="AL73" s="57">
        <v>0</v>
      </c>
      <c r="AM73" s="57">
        <v>4</v>
      </c>
      <c r="AN73" s="61">
        <f t="shared" si="59"/>
        <v>45</v>
      </c>
      <c r="AO73" s="40">
        <f t="shared" si="73"/>
        <v>0</v>
      </c>
      <c r="AP73" s="40">
        <f t="shared" si="74"/>
        <v>-3044.9448621546044</v>
      </c>
      <c r="AQ73" s="44">
        <f t="shared" si="75"/>
        <v>34255.629699239296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105</v>
      </c>
      <c r="G74" s="35">
        <f>SUMIFS(WORKING!$AC$3:$AC$6802,WORKING!$A$3:$A$6802,Results!$D$3,WORKING!$B$3:$B$6802,Results!A74,WORKING!$C$3:$C$6802,Results!C74)/1000</f>
        <v>70949.025980000049</v>
      </c>
      <c r="H74" s="35">
        <f t="shared" si="60"/>
        <v>675.70500933333381</v>
      </c>
      <c r="I74" s="187">
        <v>112</v>
      </c>
      <c r="J74" s="212">
        <v>70896</v>
      </c>
      <c r="K74" s="217">
        <f t="shared" si="61"/>
        <v>633</v>
      </c>
      <c r="L74" s="34">
        <f t="shared" si="54"/>
        <v>112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691.02547676314236</v>
      </c>
      <c r="N74" s="57">
        <v>8</v>
      </c>
      <c r="O74" s="57">
        <v>1</v>
      </c>
      <c r="P74" s="61">
        <f t="shared" si="55"/>
        <v>119</v>
      </c>
      <c r="Q74" s="40">
        <f t="shared" si="62"/>
        <v>5528.2038141051389</v>
      </c>
      <c r="R74" s="40">
        <f t="shared" si="63"/>
        <v>-691.02547676314236</v>
      </c>
      <c r="S74" s="44">
        <f t="shared" si="64"/>
        <v>82232.031734813936</v>
      </c>
      <c r="T74" s="35">
        <f t="shared" si="65"/>
        <v>119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750.16347510707442</v>
      </c>
      <c r="V74" s="57">
        <v>0</v>
      </c>
      <c r="W74" s="57">
        <v>8</v>
      </c>
      <c r="X74" s="61">
        <f t="shared" si="56"/>
        <v>111</v>
      </c>
      <c r="Y74" s="40">
        <f t="shared" si="66"/>
        <v>0</v>
      </c>
      <c r="Z74" s="40">
        <f t="shared" si="67"/>
        <v>-6001.3078008565953</v>
      </c>
      <c r="AA74" s="44">
        <f t="shared" si="68"/>
        <v>83268.145736885257</v>
      </c>
      <c r="AB74" s="35">
        <f t="shared" si="69"/>
        <v>111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813.60142015019187</v>
      </c>
      <c r="AD74" s="57">
        <v>0</v>
      </c>
      <c r="AE74" s="57">
        <v>9</v>
      </c>
      <c r="AF74" s="61">
        <f t="shared" si="57"/>
        <v>102</v>
      </c>
      <c r="AG74" s="40">
        <f t="shared" si="70"/>
        <v>0</v>
      </c>
      <c r="AH74" s="40">
        <f t="shared" si="71"/>
        <v>-7322.4127813517271</v>
      </c>
      <c r="AI74" s="44">
        <f t="shared" si="72"/>
        <v>82987.344855319578</v>
      </c>
      <c r="AJ74" s="35">
        <f t="shared" si="58"/>
        <v>102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880.7531301563107</v>
      </c>
      <c r="AL74" s="57">
        <v>0</v>
      </c>
      <c r="AM74" s="57">
        <v>3</v>
      </c>
      <c r="AN74" s="61">
        <f t="shared" si="59"/>
        <v>99</v>
      </c>
      <c r="AO74" s="40">
        <f t="shared" si="73"/>
        <v>0</v>
      </c>
      <c r="AP74" s="40">
        <f t="shared" si="74"/>
        <v>-2642.259390468932</v>
      </c>
      <c r="AQ74" s="44">
        <f t="shared" si="75"/>
        <v>87194.559885474766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37</v>
      </c>
      <c r="G75" s="35">
        <f>SUMIFS(WORKING!$AC$3:$AC$6802,WORKING!$A$3:$A$6802,Results!$D$3,WORKING!$B$3:$B$6802,Results!A75,WORKING!$C$3:$C$6802,Results!C75)/1000</f>
        <v>33589.040870000004</v>
      </c>
      <c r="H75" s="35">
        <f t="shared" si="60"/>
        <v>907.81191540540556</v>
      </c>
      <c r="I75" s="187">
        <v>49</v>
      </c>
      <c r="J75" s="212">
        <v>33565</v>
      </c>
      <c r="K75" s="217">
        <f t="shared" si="61"/>
        <v>685</v>
      </c>
      <c r="L75" s="34">
        <f t="shared" si="54"/>
        <v>49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747.79666981578805</v>
      </c>
      <c r="N75" s="57">
        <v>3</v>
      </c>
      <c r="O75" s="57">
        <v>8</v>
      </c>
      <c r="P75" s="61">
        <f t="shared" si="55"/>
        <v>44</v>
      </c>
      <c r="Q75" s="40">
        <f t="shared" si="62"/>
        <v>2243.3900094473643</v>
      </c>
      <c r="R75" s="40">
        <f t="shared" si="63"/>
        <v>-5982.3733585263044</v>
      </c>
      <c r="S75" s="44">
        <f t="shared" si="64"/>
        <v>32903.053471894673</v>
      </c>
      <c r="T75" s="35">
        <f t="shared" si="65"/>
        <v>44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811.79802125296931</v>
      </c>
      <c r="V75" s="57">
        <v>0</v>
      </c>
      <c r="W75" s="57">
        <v>1</v>
      </c>
      <c r="X75" s="61">
        <f t="shared" si="56"/>
        <v>43</v>
      </c>
      <c r="Y75" s="40">
        <f t="shared" si="66"/>
        <v>0</v>
      </c>
      <c r="Z75" s="40">
        <f t="shared" si="67"/>
        <v>-811.79802125296931</v>
      </c>
      <c r="AA75" s="44">
        <f t="shared" si="68"/>
        <v>34907.314913877679</v>
      </c>
      <c r="AB75" s="35">
        <f t="shared" si="69"/>
        <v>43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880.45340539315907</v>
      </c>
      <c r="AD75" s="57">
        <v>0</v>
      </c>
      <c r="AE75" s="57">
        <v>0</v>
      </c>
      <c r="AF75" s="61">
        <f t="shared" si="57"/>
        <v>43</v>
      </c>
      <c r="AG75" s="40">
        <f t="shared" si="70"/>
        <v>0</v>
      </c>
      <c r="AH75" s="40">
        <f t="shared" si="71"/>
        <v>0</v>
      </c>
      <c r="AI75" s="44">
        <f t="shared" si="72"/>
        <v>37859.496431905842</v>
      </c>
      <c r="AJ75" s="35">
        <f t="shared" si="58"/>
        <v>43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953.12855509890585</v>
      </c>
      <c r="AL75" s="57">
        <v>0</v>
      </c>
      <c r="AM75" s="57">
        <v>3</v>
      </c>
      <c r="AN75" s="61">
        <f t="shared" si="59"/>
        <v>40</v>
      </c>
      <c r="AO75" s="40">
        <f t="shared" si="73"/>
        <v>0</v>
      </c>
      <c r="AP75" s="40">
        <f t="shared" si="74"/>
        <v>-2859.3856652967174</v>
      </c>
      <c r="AQ75" s="44">
        <f t="shared" si="75"/>
        <v>38125.142203956231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71</v>
      </c>
      <c r="G76" s="35">
        <f>SUMIFS(WORKING!$AC$3:$AC$6802,WORKING!$A$3:$A$6802,Results!$D$3,WORKING!$B$3:$B$6802,Results!A76,WORKING!$C$3:$C$6802,Results!C76)/1000</f>
        <v>66930.827170000019</v>
      </c>
      <c r="H76" s="35">
        <f t="shared" si="60"/>
        <v>942.6877066197186</v>
      </c>
      <c r="I76" s="187">
        <v>68</v>
      </c>
      <c r="J76" s="212">
        <v>66912</v>
      </c>
      <c r="K76" s="217">
        <f t="shared" si="61"/>
        <v>984</v>
      </c>
      <c r="L76" s="34">
        <f t="shared" si="54"/>
        <v>68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1031.0617332349327</v>
      </c>
      <c r="N76" s="57">
        <v>0</v>
      </c>
      <c r="O76" s="57">
        <v>1</v>
      </c>
      <c r="P76" s="61">
        <f t="shared" si="55"/>
        <v>67</v>
      </c>
      <c r="Q76" s="40">
        <f t="shared" si="62"/>
        <v>0</v>
      </c>
      <c r="R76" s="40">
        <f t="shared" si="63"/>
        <v>-1031.0617332349327</v>
      </c>
      <c r="S76" s="44">
        <f t="shared" si="64"/>
        <v>69081.136126740486</v>
      </c>
      <c r="T76" s="35">
        <f t="shared" si="65"/>
        <v>67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1108.6125300115589</v>
      </c>
      <c r="V76" s="57">
        <v>0</v>
      </c>
      <c r="W76" s="57">
        <v>0</v>
      </c>
      <c r="X76" s="61">
        <f t="shared" si="56"/>
        <v>67</v>
      </c>
      <c r="Y76" s="40">
        <f t="shared" si="66"/>
        <v>0</v>
      </c>
      <c r="Z76" s="40">
        <f t="shared" si="67"/>
        <v>0</v>
      </c>
      <c r="AA76" s="44">
        <f t="shared" si="68"/>
        <v>74277.039510774441</v>
      </c>
      <c r="AB76" s="35">
        <f t="shared" si="69"/>
        <v>67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1190.8717467119441</v>
      </c>
      <c r="AD76" s="57">
        <v>0</v>
      </c>
      <c r="AE76" s="57">
        <v>0</v>
      </c>
      <c r="AF76" s="61">
        <f t="shared" si="57"/>
        <v>67</v>
      </c>
      <c r="AG76" s="40">
        <f t="shared" si="70"/>
        <v>0</v>
      </c>
      <c r="AH76" s="40">
        <f t="shared" si="71"/>
        <v>0</v>
      </c>
      <c r="AI76" s="44">
        <f t="shared" si="72"/>
        <v>79788.407029700247</v>
      </c>
      <c r="AJ76" s="35">
        <f t="shared" si="58"/>
        <v>67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1276.8186802953478</v>
      </c>
      <c r="AL76" s="57">
        <v>0</v>
      </c>
      <c r="AM76" s="57">
        <v>4</v>
      </c>
      <c r="AN76" s="61">
        <f t="shared" si="59"/>
        <v>63</v>
      </c>
      <c r="AO76" s="40">
        <f t="shared" si="73"/>
        <v>0</v>
      </c>
      <c r="AP76" s="40">
        <f t="shared" si="74"/>
        <v>-5107.2747211813912</v>
      </c>
      <c r="AQ76" s="44">
        <f t="shared" si="75"/>
        <v>80439.576858606917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24</v>
      </c>
      <c r="G77" s="35">
        <f>SUMIFS(WORKING!$AC$3:$AC$6802,WORKING!$A$3:$A$6802,Results!$D$3,WORKING!$B$3:$B$6802,Results!A77,WORKING!$C$3:$C$6802,Results!C77)/1000</f>
        <v>26104.570940000005</v>
      </c>
      <c r="H77" s="35">
        <f t="shared" si="60"/>
        <v>1087.6904558333335</v>
      </c>
      <c r="I77" s="187">
        <v>23</v>
      </c>
      <c r="J77" s="212">
        <v>33936</v>
      </c>
      <c r="K77" s="217">
        <f t="shared" si="61"/>
        <v>1475.4782608695652</v>
      </c>
      <c r="L77" s="34">
        <f t="shared" si="54"/>
        <v>23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1546.5516527084128</v>
      </c>
      <c r="N77" s="57">
        <v>0</v>
      </c>
      <c r="O77" s="57">
        <v>0</v>
      </c>
      <c r="P77" s="61">
        <f t="shared" si="55"/>
        <v>23</v>
      </c>
      <c r="Q77" s="40">
        <f t="shared" si="62"/>
        <v>0</v>
      </c>
      <c r="R77" s="40">
        <f t="shared" si="63"/>
        <v>0</v>
      </c>
      <c r="S77" s="44">
        <f t="shared" si="64"/>
        <v>35570.688012293496</v>
      </c>
      <c r="T77" s="35">
        <f t="shared" si="65"/>
        <v>23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1663.4187304966033</v>
      </c>
      <c r="V77" s="57">
        <v>0</v>
      </c>
      <c r="W77" s="57">
        <v>0</v>
      </c>
      <c r="X77" s="61">
        <f t="shared" si="56"/>
        <v>23</v>
      </c>
      <c r="Y77" s="40">
        <f t="shared" si="66"/>
        <v>0</v>
      </c>
      <c r="Z77" s="40">
        <f t="shared" si="67"/>
        <v>0</v>
      </c>
      <c r="AA77" s="44">
        <f t="shared" si="68"/>
        <v>38258.630801421874</v>
      </c>
      <c r="AB77" s="35">
        <f t="shared" si="69"/>
        <v>23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1787.4291665178098</v>
      </c>
      <c r="AD77" s="57">
        <v>0</v>
      </c>
      <c r="AE77" s="57">
        <v>0</v>
      </c>
      <c r="AF77" s="61">
        <f t="shared" si="57"/>
        <v>23</v>
      </c>
      <c r="AG77" s="40">
        <f t="shared" si="70"/>
        <v>0</v>
      </c>
      <c r="AH77" s="40">
        <f t="shared" si="71"/>
        <v>0</v>
      </c>
      <c r="AI77" s="44">
        <f t="shared" si="72"/>
        <v>41110.870829909625</v>
      </c>
      <c r="AJ77" s="35">
        <f t="shared" si="58"/>
        <v>23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1917.0574165508715</v>
      </c>
      <c r="AL77" s="57">
        <v>0</v>
      </c>
      <c r="AM77" s="57">
        <v>2</v>
      </c>
      <c r="AN77" s="61">
        <f t="shared" si="59"/>
        <v>21</v>
      </c>
      <c r="AO77" s="40">
        <f t="shared" si="73"/>
        <v>0</v>
      </c>
      <c r="AP77" s="40">
        <f t="shared" si="74"/>
        <v>-3834.114833101743</v>
      </c>
      <c r="AQ77" s="44">
        <f t="shared" si="75"/>
        <v>40258.205747568303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3</v>
      </c>
      <c r="G78" s="35">
        <f>SUMIFS(WORKING!$AC$3:$AC$6802,WORKING!$A$3:$A$6802,Results!$D$3,WORKING!$B$3:$B$6802,Results!A78,WORKING!$C$3:$C$6802,Results!C78)/1000</f>
        <v>3999.9205400000001</v>
      </c>
      <c r="H78" s="35">
        <f t="shared" si="60"/>
        <v>1333.3068466666666</v>
      </c>
      <c r="I78" s="187">
        <v>2</v>
      </c>
      <c r="J78" s="212">
        <v>4000</v>
      </c>
      <c r="K78" s="217">
        <f t="shared" si="61"/>
        <v>2000</v>
      </c>
      <c r="L78" s="34">
        <f t="shared" si="54"/>
        <v>2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2096.7726792376229</v>
      </c>
      <c r="N78" s="57">
        <v>0</v>
      </c>
      <c r="O78" s="57">
        <v>0</v>
      </c>
      <c r="P78" s="61">
        <f t="shared" si="55"/>
        <v>2</v>
      </c>
      <c r="Q78" s="40">
        <f t="shared" si="62"/>
        <v>0</v>
      </c>
      <c r="R78" s="40">
        <f t="shared" si="63"/>
        <v>0</v>
      </c>
      <c r="S78" s="44">
        <f t="shared" si="64"/>
        <v>4193.5453584752458</v>
      </c>
      <c r="T78" s="35">
        <f t="shared" si="65"/>
        <v>2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2255.6839344148884</v>
      </c>
      <c r="V78" s="57">
        <v>0</v>
      </c>
      <c r="W78" s="57">
        <v>0</v>
      </c>
      <c r="X78" s="61">
        <f t="shared" si="56"/>
        <v>2</v>
      </c>
      <c r="Y78" s="40">
        <f t="shared" si="66"/>
        <v>0</v>
      </c>
      <c r="Z78" s="40">
        <f t="shared" si="67"/>
        <v>0</v>
      </c>
      <c r="AA78" s="44">
        <f t="shared" si="68"/>
        <v>4511.3678688297769</v>
      </c>
      <c r="AB78" s="35">
        <f t="shared" si="69"/>
        <v>2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2424.3495532576349</v>
      </c>
      <c r="AD78" s="57">
        <v>0</v>
      </c>
      <c r="AE78" s="57">
        <v>0</v>
      </c>
      <c r="AF78" s="61">
        <f t="shared" si="57"/>
        <v>2</v>
      </c>
      <c r="AG78" s="40">
        <f t="shared" si="70"/>
        <v>0</v>
      </c>
      <c r="AH78" s="40">
        <f t="shared" si="71"/>
        <v>0</v>
      </c>
      <c r="AI78" s="44">
        <f t="shared" si="72"/>
        <v>4848.6991065152697</v>
      </c>
      <c r="AJ78" s="35">
        <f t="shared" si="58"/>
        <v>2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2600.7059888477829</v>
      </c>
      <c r="AL78" s="57">
        <v>0</v>
      </c>
      <c r="AM78" s="57">
        <v>0</v>
      </c>
      <c r="AN78" s="61">
        <f t="shared" si="59"/>
        <v>2</v>
      </c>
      <c r="AO78" s="40">
        <f t="shared" si="73"/>
        <v>0</v>
      </c>
      <c r="AP78" s="40">
        <f t="shared" si="74"/>
        <v>0</v>
      </c>
      <c r="AQ78" s="44">
        <f t="shared" si="75"/>
        <v>5201.4119776955658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7540.6634000000004</v>
      </c>
      <c r="H79" s="35">
        <f t="shared" si="60"/>
        <v>2513.5544666666669</v>
      </c>
      <c r="I79" s="187">
        <v>1</v>
      </c>
      <c r="J79" s="212">
        <v>2514</v>
      </c>
      <c r="K79" s="217">
        <f t="shared" si="61"/>
        <v>2514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2635.7723761213924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2635.7723761213924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2835.6725203711444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2835.6725203711444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3047.8552814554528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3047.8552814554528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3269.7280762832511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3269.7280762832511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285</v>
      </c>
      <c r="J80" s="212">
        <v>7628</v>
      </c>
      <c r="K80" s="217">
        <f t="shared" si="61"/>
        <v>26.764912280701754</v>
      </c>
      <c r="L80" s="34">
        <f t="shared" si="54"/>
        <v>285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27.648154385964911</v>
      </c>
      <c r="N80" s="57">
        <v>134</v>
      </c>
      <c r="O80" s="57">
        <v>0</v>
      </c>
      <c r="P80" s="61">
        <f t="shared" si="55"/>
        <v>419</v>
      </c>
      <c r="Q80" s="40">
        <f t="shared" si="62"/>
        <v>3704.852687719298</v>
      </c>
      <c r="R80" s="40">
        <f t="shared" si="63"/>
        <v>0</v>
      </c>
      <c r="S80" s="44">
        <f t="shared" si="64"/>
        <v>11584.576687719298</v>
      </c>
      <c r="T80" s="35">
        <f t="shared" si="65"/>
        <v>419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29.307043649122807</v>
      </c>
      <c r="V80" s="57">
        <v>0</v>
      </c>
      <c r="W80" s="57">
        <v>0</v>
      </c>
      <c r="X80" s="61">
        <f t="shared" si="56"/>
        <v>419</v>
      </c>
      <c r="Y80" s="40">
        <f t="shared" si="66"/>
        <v>0</v>
      </c>
      <c r="Z80" s="40">
        <f t="shared" si="67"/>
        <v>0</v>
      </c>
      <c r="AA80" s="44">
        <f t="shared" si="68"/>
        <v>12279.651288982457</v>
      </c>
      <c r="AB80" s="35">
        <f t="shared" si="69"/>
        <v>419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31.036159224421052</v>
      </c>
      <c r="AD80" s="57">
        <v>0</v>
      </c>
      <c r="AE80" s="57">
        <v>0</v>
      </c>
      <c r="AF80" s="61">
        <f t="shared" si="57"/>
        <v>419</v>
      </c>
      <c r="AG80" s="40">
        <f t="shared" si="70"/>
        <v>0</v>
      </c>
      <c r="AH80" s="40">
        <f t="shared" si="71"/>
        <v>0</v>
      </c>
      <c r="AI80" s="44">
        <f t="shared" si="72"/>
        <v>13004.150715032421</v>
      </c>
      <c r="AJ80" s="35">
        <f t="shared" si="58"/>
        <v>419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32.805220300213051</v>
      </c>
      <c r="AL80" s="57">
        <v>0</v>
      </c>
      <c r="AM80" s="57">
        <v>0</v>
      </c>
      <c r="AN80" s="61">
        <f t="shared" si="59"/>
        <v>419</v>
      </c>
      <c r="AO80" s="40">
        <f t="shared" si="73"/>
        <v>0</v>
      </c>
      <c r="AP80" s="40">
        <f t="shared" si="74"/>
        <v>0</v>
      </c>
      <c r="AQ80" s="44">
        <f t="shared" si="75"/>
        <v>13745.387305789269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>
        <v>0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>
        <v>0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>
        <v>0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1365</v>
      </c>
      <c r="G84" s="41">
        <f>SUM(G64:G83)</f>
        <v>486515.97722000012</v>
      </c>
      <c r="H84" s="41">
        <f>IFERROR(G84/F84,0)</f>
        <v>356.4219613333334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1468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494347</v>
      </c>
      <c r="K84" s="41">
        <f>IFERROR(J84/I84,"")</f>
        <v>336.74863760217983</v>
      </c>
      <c r="L84" s="41">
        <f>SUM(L64:L83)</f>
        <v>1468</v>
      </c>
      <c r="M84" s="41">
        <f>IFERROR(S84/P84,0)</f>
        <v>339.96174339703106</v>
      </c>
      <c r="N84" s="41">
        <f t="shared" ref="N84:T84" si="98">SUM(N64:N83)</f>
        <v>188</v>
      </c>
      <c r="O84" s="41">
        <f t="shared" si="98"/>
        <v>64</v>
      </c>
      <c r="P84" s="41">
        <f t="shared" si="98"/>
        <v>1592</v>
      </c>
      <c r="Q84" s="41">
        <f t="shared" si="98"/>
        <v>27966.582040436988</v>
      </c>
      <c r="R84" s="41">
        <f t="shared" si="98"/>
        <v>-20456.593200166357</v>
      </c>
      <c r="S84" s="45">
        <f t="shared" si="98"/>
        <v>541219.09548807342</v>
      </c>
      <c r="T84" s="41">
        <f t="shared" si="98"/>
        <v>1592</v>
      </c>
      <c r="U84" s="41">
        <f>IFERROR(AA84/X84,0)</f>
        <v>368.4741649650864</v>
      </c>
      <c r="V84" s="41">
        <f t="shared" ref="V84:AB84" si="99">SUM(V64:V83)</f>
        <v>0</v>
      </c>
      <c r="W84" s="41">
        <f t="shared" si="99"/>
        <v>48</v>
      </c>
      <c r="X84" s="41">
        <f t="shared" si="99"/>
        <v>1544</v>
      </c>
      <c r="Y84" s="41">
        <f t="shared" si="99"/>
        <v>0</v>
      </c>
      <c r="Z84" s="41">
        <f t="shared" si="99"/>
        <v>-17029.047240810109</v>
      </c>
      <c r="AA84" s="45">
        <f t="shared" si="99"/>
        <v>568924.11070609337</v>
      </c>
      <c r="AB84" s="41">
        <f t="shared" si="99"/>
        <v>1544</v>
      </c>
      <c r="AC84" s="41">
        <f>IFERROR(AI84/AF84,0)</f>
        <v>398.80145942667014</v>
      </c>
      <c r="AD84" s="41">
        <f t="shared" ref="AD84:AJ84" si="100">SUM(AD64:AD83)</f>
        <v>0</v>
      </c>
      <c r="AE84" s="41">
        <f t="shared" si="100"/>
        <v>57</v>
      </c>
      <c r="AF84" s="41">
        <f t="shared" si="100"/>
        <v>1487</v>
      </c>
      <c r="AG84" s="41">
        <f t="shared" si="100"/>
        <v>0</v>
      </c>
      <c r="AH84" s="41">
        <f t="shared" si="100"/>
        <v>-22326.752641926592</v>
      </c>
      <c r="AI84" s="45">
        <f t="shared" si="100"/>
        <v>593017.77016745845</v>
      </c>
      <c r="AJ84" s="41">
        <f t="shared" si="100"/>
        <v>1487</v>
      </c>
      <c r="AK84" s="41">
        <f>IFERROR(AQ84/AN84,0)</f>
        <v>426.27263662594044</v>
      </c>
      <c r="AL84" s="41">
        <f t="shared" ref="AL84:AQ84" si="101">SUM(AL64:AL83)</f>
        <v>0</v>
      </c>
      <c r="AM84" s="41">
        <f t="shared" si="101"/>
        <v>72</v>
      </c>
      <c r="AN84" s="41">
        <f t="shared" si="101"/>
        <v>1415</v>
      </c>
      <c r="AO84" s="41">
        <f t="shared" si="101"/>
        <v>0</v>
      </c>
      <c r="AP84" s="41">
        <f t="shared" si="101"/>
        <v>-36985.649933355351</v>
      </c>
      <c r="AQ84" s="45">
        <f t="shared" si="101"/>
        <v>603175.78082570573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552324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572747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563899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606755.32400000002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11104.904511926579</v>
      </c>
      <c r="T86" s="39"/>
      <c r="U86" s="39"/>
      <c r="V86" s="53"/>
      <c r="W86" s="53"/>
      <c r="X86" s="110"/>
      <c r="Y86" s="39"/>
      <c r="Z86" s="39"/>
      <c r="AA86" s="54">
        <f>AA85-AA84</f>
        <v>3822.8892939066282</v>
      </c>
      <c r="AB86" s="39"/>
      <c r="AC86" s="53"/>
      <c r="AD86" s="53"/>
      <c r="AE86" s="110"/>
      <c r="AF86" s="39"/>
      <c r="AG86" s="39"/>
      <c r="AH86" s="39"/>
      <c r="AI86" s="54">
        <f>AI85-AI84</f>
        <v>-29118.770167458453</v>
      </c>
      <c r="AJ86" s="53"/>
      <c r="AK86" s="53"/>
      <c r="AL86" s="110"/>
      <c r="AM86" s="110"/>
      <c r="AN86" s="110"/>
      <c r="AO86" s="110"/>
      <c r="AP86" s="111"/>
      <c r="AQ86" s="54">
        <f>AQ85-AQ84</f>
        <v>3579.5431742942892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Court Services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14330.910340000006</v>
      </c>
      <c r="H92" s="35">
        <f>IFERROR(G92/F92,0)</f>
        <v>0</v>
      </c>
      <c r="I92" s="156" t="s">
        <v>754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6</v>
      </c>
      <c r="G93" s="35">
        <f>SUMIFS(WORKING!$AC$3:$AC$6802,WORKING!$A$3:$A$6802,Results!$D$3,WORKING!$B$3:$B$6802,Results!A93,WORKING!$C$3:$C$6802,Results!C93)/1000</f>
        <v>544.56590000000017</v>
      </c>
      <c r="H93" s="35">
        <f t="shared" ref="H93:H111" si="108">IFERROR(G93/F93,0)</f>
        <v>90.760983333333357</v>
      </c>
      <c r="I93" s="187">
        <v>1</v>
      </c>
      <c r="J93" s="212">
        <v>91</v>
      </c>
      <c r="K93" s="217">
        <f t="shared" ref="K93:K111" si="109">IFERROR(IF(J93="",G93,J93)/IF(I93="",F93,I93),"")</f>
        <v>91</v>
      </c>
      <c r="L93" s="34">
        <f t="shared" si="102"/>
        <v>1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99.150673225160261</v>
      </c>
      <c r="N93" s="57">
        <v>0</v>
      </c>
      <c r="O93" s="57">
        <v>0</v>
      </c>
      <c r="P93" s="61">
        <f t="shared" si="103"/>
        <v>1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99.150673225160261</v>
      </c>
      <c r="T93" s="35">
        <f t="shared" ref="T93:T111" si="113">P93</f>
        <v>1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107.60882414081364</v>
      </c>
      <c r="V93" s="57">
        <v>0</v>
      </c>
      <c r="W93" s="57">
        <v>0</v>
      </c>
      <c r="X93" s="61">
        <f t="shared" si="104"/>
        <v>1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107.60882414081364</v>
      </c>
      <c r="AB93" s="35">
        <f t="shared" ref="AB93:AB111" si="117">X93</f>
        <v>1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116.67940942065705</v>
      </c>
      <c r="AD93" s="57">
        <v>0</v>
      </c>
      <c r="AE93" s="57">
        <v>0</v>
      </c>
      <c r="AF93" s="61">
        <f t="shared" si="105"/>
        <v>1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116.67940942065705</v>
      </c>
      <c r="AJ93" s="35">
        <f t="shared" si="106"/>
        <v>1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126.27798837748355</v>
      </c>
      <c r="AL93" s="57">
        <v>0</v>
      </c>
      <c r="AM93" s="57">
        <v>0</v>
      </c>
      <c r="AN93" s="61">
        <f t="shared" si="107"/>
        <v>1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126.27798837748355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558</v>
      </c>
      <c r="G94" s="35">
        <f>SUMIFS(WORKING!$AC$3:$AC$6802,WORKING!$A$3:$A$6802,Results!$D$3,WORKING!$B$3:$B$6802,Results!A94,WORKING!$C$3:$C$6802,Results!C94)/1000</f>
        <v>77949.093209999992</v>
      </c>
      <c r="H94" s="35">
        <f t="shared" si="108"/>
        <v>139.69371543010752</v>
      </c>
      <c r="I94" s="187">
        <v>554</v>
      </c>
      <c r="J94" s="212">
        <v>78114</v>
      </c>
      <c r="K94" s="217">
        <f t="shared" si="109"/>
        <v>141</v>
      </c>
      <c r="L94" s="34">
        <f t="shared" si="102"/>
        <v>554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152.94307091337097</v>
      </c>
      <c r="N94" s="57">
        <v>20</v>
      </c>
      <c r="O94" s="57">
        <v>1</v>
      </c>
      <c r="P94" s="61">
        <f t="shared" si="103"/>
        <v>573</v>
      </c>
      <c r="Q94" s="40">
        <f t="shared" si="110"/>
        <v>3058.8614182674196</v>
      </c>
      <c r="R94" s="40">
        <f t="shared" si="111"/>
        <v>-152.94307091337097</v>
      </c>
      <c r="S94" s="44">
        <f t="shared" si="112"/>
        <v>87636.379633361561</v>
      </c>
      <c r="T94" s="35">
        <f t="shared" si="113"/>
        <v>573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165.77988154991158</v>
      </c>
      <c r="V94" s="57">
        <v>0</v>
      </c>
      <c r="W94" s="57">
        <v>4</v>
      </c>
      <c r="X94" s="61">
        <f t="shared" si="104"/>
        <v>569</v>
      </c>
      <c r="Y94" s="40">
        <f t="shared" si="114"/>
        <v>0</v>
      </c>
      <c r="Z94" s="40">
        <f t="shared" si="115"/>
        <v>-663.11952619964632</v>
      </c>
      <c r="AA94" s="44">
        <f t="shared" si="116"/>
        <v>94328.752601899687</v>
      </c>
      <c r="AB94" s="35">
        <f t="shared" si="117"/>
        <v>569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179.52621277751675</v>
      </c>
      <c r="AD94" s="57">
        <v>0</v>
      </c>
      <c r="AE94" s="57">
        <v>4</v>
      </c>
      <c r="AF94" s="61">
        <f t="shared" si="105"/>
        <v>565</v>
      </c>
      <c r="AG94" s="40">
        <f t="shared" si="118"/>
        <v>0</v>
      </c>
      <c r="AH94" s="40">
        <f t="shared" si="119"/>
        <v>-718.10485111006699</v>
      </c>
      <c r="AI94" s="44">
        <f t="shared" si="120"/>
        <v>101432.31021929697</v>
      </c>
      <c r="AJ94" s="35">
        <f t="shared" si="106"/>
        <v>565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194.04873854944955</v>
      </c>
      <c r="AL94" s="57">
        <v>0</v>
      </c>
      <c r="AM94" s="57">
        <v>0</v>
      </c>
      <c r="AN94" s="61">
        <f t="shared" si="107"/>
        <v>565</v>
      </c>
      <c r="AO94" s="40">
        <f t="shared" si="121"/>
        <v>0</v>
      </c>
      <c r="AP94" s="40">
        <f t="shared" si="122"/>
        <v>0</v>
      </c>
      <c r="AQ94" s="44">
        <f t="shared" si="123"/>
        <v>109637.53728043899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99</v>
      </c>
      <c r="G95" s="35">
        <f>SUMIFS(WORKING!$AC$3:$AC$6802,WORKING!$A$3:$A$6802,Results!$D$3,WORKING!$B$3:$B$6802,Results!A95,WORKING!$C$3:$C$6802,Results!C95)/1000</f>
        <v>37334.843370000002</v>
      </c>
      <c r="H95" s="35">
        <f t="shared" si="108"/>
        <v>377.11963000000003</v>
      </c>
      <c r="I95" s="187">
        <v>95</v>
      </c>
      <c r="J95" s="212">
        <v>16620</v>
      </c>
      <c r="K95" s="217">
        <f t="shared" si="109"/>
        <v>174.94736842105263</v>
      </c>
      <c r="L95" s="34">
        <f t="shared" si="102"/>
        <v>95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190.11147200613979</v>
      </c>
      <c r="N95" s="57">
        <v>3</v>
      </c>
      <c r="O95" s="57">
        <v>0</v>
      </c>
      <c r="P95" s="61">
        <f t="shared" si="103"/>
        <v>98</v>
      </c>
      <c r="Q95" s="40">
        <f t="shared" si="110"/>
        <v>570.33441601841935</v>
      </c>
      <c r="R95" s="40">
        <f t="shared" si="111"/>
        <v>0</v>
      </c>
      <c r="S95" s="44">
        <f t="shared" si="112"/>
        <v>18630.924256601698</v>
      </c>
      <c r="T95" s="35">
        <f t="shared" si="113"/>
        <v>98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206.17357526821814</v>
      </c>
      <c r="V95" s="57">
        <v>0</v>
      </c>
      <c r="W95" s="57">
        <v>0</v>
      </c>
      <c r="X95" s="61">
        <f t="shared" si="104"/>
        <v>98</v>
      </c>
      <c r="Y95" s="40">
        <f t="shared" si="114"/>
        <v>0</v>
      </c>
      <c r="Z95" s="40">
        <f t="shared" si="115"/>
        <v>0</v>
      </c>
      <c r="AA95" s="44">
        <f t="shared" si="116"/>
        <v>20205.01037628538</v>
      </c>
      <c r="AB95" s="35">
        <f t="shared" si="117"/>
        <v>98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223.38386496941143</v>
      </c>
      <c r="AD95" s="57">
        <v>0</v>
      </c>
      <c r="AE95" s="57">
        <v>0</v>
      </c>
      <c r="AF95" s="61">
        <f t="shared" si="105"/>
        <v>98</v>
      </c>
      <c r="AG95" s="40">
        <f t="shared" si="118"/>
        <v>0</v>
      </c>
      <c r="AH95" s="40">
        <f t="shared" si="119"/>
        <v>0</v>
      </c>
      <c r="AI95" s="44">
        <f t="shared" si="120"/>
        <v>21891.618767002321</v>
      </c>
      <c r="AJ95" s="35">
        <f t="shared" si="106"/>
        <v>98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241.57817825504196</v>
      </c>
      <c r="AL95" s="57">
        <v>0</v>
      </c>
      <c r="AM95" s="57">
        <v>0</v>
      </c>
      <c r="AN95" s="61">
        <f t="shared" si="107"/>
        <v>98</v>
      </c>
      <c r="AO95" s="40">
        <f t="shared" si="121"/>
        <v>0</v>
      </c>
      <c r="AP95" s="40">
        <f t="shared" si="122"/>
        <v>0</v>
      </c>
      <c r="AQ95" s="44">
        <f t="shared" si="123"/>
        <v>23674.661468994113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8975</v>
      </c>
      <c r="G96" s="35">
        <f>SUMIFS(WORKING!$AC$3:$AC$6802,WORKING!$A$3:$A$6802,Results!$D$3,WORKING!$B$3:$B$6802,Results!A96,WORKING!$C$3:$C$6802,Results!C96)/1000</f>
        <v>1697239.7158100004</v>
      </c>
      <c r="H96" s="35">
        <f t="shared" si="108"/>
        <v>189.107489226741</v>
      </c>
      <c r="I96" s="187">
        <v>8975</v>
      </c>
      <c r="J96" s="212">
        <v>1738502</v>
      </c>
      <c r="K96" s="217">
        <f t="shared" si="109"/>
        <v>193.70495821727019</v>
      </c>
      <c r="L96" s="34">
        <f t="shared" si="102"/>
        <v>8975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210.50662700138525</v>
      </c>
      <c r="N96" s="57">
        <v>75</v>
      </c>
      <c r="O96" s="57">
        <v>238</v>
      </c>
      <c r="P96" s="61">
        <f t="shared" si="103"/>
        <v>8812</v>
      </c>
      <c r="Q96" s="40">
        <f t="shared" si="110"/>
        <v>15787.997025103894</v>
      </c>
      <c r="R96" s="40">
        <f t="shared" si="111"/>
        <v>-50100.577226329689</v>
      </c>
      <c r="S96" s="44">
        <f t="shared" si="112"/>
        <v>1854984.397136207</v>
      </c>
      <c r="T96" s="35">
        <f t="shared" si="113"/>
        <v>8812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228.29580069905663</v>
      </c>
      <c r="V96" s="57">
        <v>0</v>
      </c>
      <c r="W96" s="57">
        <v>225</v>
      </c>
      <c r="X96" s="61">
        <f t="shared" si="104"/>
        <v>8587</v>
      </c>
      <c r="Y96" s="40">
        <f t="shared" si="114"/>
        <v>0</v>
      </c>
      <c r="Z96" s="40">
        <f t="shared" si="115"/>
        <v>-51366.555157287745</v>
      </c>
      <c r="AA96" s="44">
        <f t="shared" si="116"/>
        <v>1960376.0406027993</v>
      </c>
      <c r="AB96" s="35">
        <f t="shared" si="117"/>
        <v>8587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247.356985392333</v>
      </c>
      <c r="AD96" s="57">
        <v>0</v>
      </c>
      <c r="AE96" s="57">
        <v>335</v>
      </c>
      <c r="AF96" s="61">
        <f t="shared" si="105"/>
        <v>8252</v>
      </c>
      <c r="AG96" s="40">
        <f t="shared" si="118"/>
        <v>0</v>
      </c>
      <c r="AH96" s="40">
        <f t="shared" si="119"/>
        <v>-82864.590106431555</v>
      </c>
      <c r="AI96" s="44">
        <f t="shared" si="120"/>
        <v>2041189.8434575319</v>
      </c>
      <c r="AJ96" s="35">
        <f t="shared" si="106"/>
        <v>8252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267.50845142876364</v>
      </c>
      <c r="AL96" s="57">
        <v>0</v>
      </c>
      <c r="AM96" s="57">
        <v>0</v>
      </c>
      <c r="AN96" s="61">
        <f t="shared" si="107"/>
        <v>8252</v>
      </c>
      <c r="AO96" s="40">
        <f t="shared" si="121"/>
        <v>0</v>
      </c>
      <c r="AP96" s="40">
        <f t="shared" si="122"/>
        <v>0</v>
      </c>
      <c r="AQ96" s="44">
        <f t="shared" si="123"/>
        <v>2207479.7411901574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857</v>
      </c>
      <c r="G97" s="35">
        <f>SUMIFS(WORKING!$AC$3:$AC$6802,WORKING!$A$3:$A$6802,Results!$D$3,WORKING!$B$3:$B$6802,Results!A97,WORKING!$C$3:$C$6802,Results!C97)/1000</f>
        <v>226060.42329000001</v>
      </c>
      <c r="H97" s="35">
        <f t="shared" si="108"/>
        <v>263.78112402567098</v>
      </c>
      <c r="I97" s="187">
        <v>855</v>
      </c>
      <c r="J97" s="212">
        <v>226446</v>
      </c>
      <c r="K97" s="217">
        <f t="shared" si="109"/>
        <v>264.84912280701752</v>
      </c>
      <c r="L97" s="34">
        <f t="shared" si="102"/>
        <v>855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288.16345048279334</v>
      </c>
      <c r="N97" s="57">
        <v>7</v>
      </c>
      <c r="O97" s="57">
        <v>40</v>
      </c>
      <c r="P97" s="61">
        <f t="shared" si="103"/>
        <v>822</v>
      </c>
      <c r="Q97" s="40">
        <f t="shared" si="110"/>
        <v>2017.1441533795532</v>
      </c>
      <c r="R97" s="40">
        <f t="shared" si="111"/>
        <v>-11526.538019311734</v>
      </c>
      <c r="S97" s="44">
        <f t="shared" si="112"/>
        <v>236870.35629685613</v>
      </c>
      <c r="T97" s="35">
        <f t="shared" si="113"/>
        <v>822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312.62153628927905</v>
      </c>
      <c r="V97" s="57">
        <v>0</v>
      </c>
      <c r="W97" s="57">
        <v>12</v>
      </c>
      <c r="X97" s="61">
        <f t="shared" si="104"/>
        <v>810</v>
      </c>
      <c r="Y97" s="40">
        <f t="shared" si="114"/>
        <v>0</v>
      </c>
      <c r="Z97" s="40">
        <f t="shared" si="115"/>
        <v>-3751.4584354713488</v>
      </c>
      <c r="AA97" s="44">
        <f t="shared" si="116"/>
        <v>253223.44439431603</v>
      </c>
      <c r="AB97" s="35">
        <f t="shared" si="117"/>
        <v>810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338.83865773665048</v>
      </c>
      <c r="AD97" s="57">
        <v>0</v>
      </c>
      <c r="AE97" s="57">
        <v>11</v>
      </c>
      <c r="AF97" s="61">
        <f t="shared" si="105"/>
        <v>799</v>
      </c>
      <c r="AG97" s="40">
        <f t="shared" si="118"/>
        <v>0</v>
      </c>
      <c r="AH97" s="40">
        <f t="shared" si="119"/>
        <v>-3727.2252351031552</v>
      </c>
      <c r="AI97" s="44">
        <f t="shared" si="120"/>
        <v>270732.08753158373</v>
      </c>
      <c r="AJ97" s="35">
        <f t="shared" si="106"/>
        <v>799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366.56753348378788</v>
      </c>
      <c r="AL97" s="57">
        <v>0</v>
      </c>
      <c r="AM97" s="57">
        <v>0</v>
      </c>
      <c r="AN97" s="61">
        <f t="shared" si="107"/>
        <v>799</v>
      </c>
      <c r="AO97" s="40">
        <f t="shared" si="121"/>
        <v>0</v>
      </c>
      <c r="AP97" s="40">
        <f t="shared" si="122"/>
        <v>0</v>
      </c>
      <c r="AQ97" s="44">
        <f t="shared" si="123"/>
        <v>292887.45925354649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1385</v>
      </c>
      <c r="G98" s="35">
        <f>SUMIFS(WORKING!$AC$3:$AC$6802,WORKING!$A$3:$A$6802,Results!$D$3,WORKING!$B$3:$B$6802,Results!A98,WORKING!$C$3:$C$6802,Results!C98)/1000</f>
        <v>411967.52854999993</v>
      </c>
      <c r="H98" s="35">
        <f t="shared" si="108"/>
        <v>297.44947909747287</v>
      </c>
      <c r="I98" s="187">
        <v>1328</v>
      </c>
      <c r="J98" s="212">
        <v>411680</v>
      </c>
      <c r="K98" s="217">
        <f t="shared" si="109"/>
        <v>310</v>
      </c>
      <c r="L98" s="34">
        <f t="shared" si="102"/>
        <v>1328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337.52474881576404</v>
      </c>
      <c r="N98" s="57">
        <v>60</v>
      </c>
      <c r="O98" s="57">
        <v>150</v>
      </c>
      <c r="P98" s="61">
        <f t="shared" si="103"/>
        <v>1238</v>
      </c>
      <c r="Q98" s="40">
        <f t="shared" si="110"/>
        <v>20251.484928945843</v>
      </c>
      <c r="R98" s="40">
        <f t="shared" si="111"/>
        <v>-50628.712322364605</v>
      </c>
      <c r="S98" s="44">
        <f t="shared" si="112"/>
        <v>417855.63903391588</v>
      </c>
      <c r="T98" s="35">
        <f t="shared" si="113"/>
        <v>1238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366.24535954227525</v>
      </c>
      <c r="V98" s="57">
        <v>0</v>
      </c>
      <c r="W98" s="57">
        <v>41</v>
      </c>
      <c r="X98" s="61">
        <f t="shared" si="104"/>
        <v>1197</v>
      </c>
      <c r="Y98" s="40">
        <f t="shared" si="114"/>
        <v>0</v>
      </c>
      <c r="Z98" s="40">
        <f t="shared" si="115"/>
        <v>-15016.059741233285</v>
      </c>
      <c r="AA98" s="44">
        <f t="shared" si="116"/>
        <v>438395.69537210348</v>
      </c>
      <c r="AB98" s="35">
        <f t="shared" si="117"/>
        <v>1197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397.0385702488731</v>
      </c>
      <c r="AD98" s="57">
        <v>0</v>
      </c>
      <c r="AE98" s="57">
        <v>79</v>
      </c>
      <c r="AF98" s="61">
        <f t="shared" si="105"/>
        <v>1118</v>
      </c>
      <c r="AG98" s="40">
        <f t="shared" si="118"/>
        <v>0</v>
      </c>
      <c r="AH98" s="40">
        <f t="shared" si="119"/>
        <v>-31366.047049660974</v>
      </c>
      <c r="AI98" s="44">
        <f t="shared" si="120"/>
        <v>443889.12153824011</v>
      </c>
      <c r="AJ98" s="35">
        <f t="shared" si="106"/>
        <v>1118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429.61579979416109</v>
      </c>
      <c r="AL98" s="57">
        <v>0</v>
      </c>
      <c r="AM98" s="57">
        <v>0</v>
      </c>
      <c r="AN98" s="61">
        <f t="shared" si="107"/>
        <v>1118</v>
      </c>
      <c r="AO98" s="40">
        <f t="shared" si="121"/>
        <v>0</v>
      </c>
      <c r="AP98" s="40">
        <f t="shared" si="122"/>
        <v>0</v>
      </c>
      <c r="AQ98" s="44">
        <f t="shared" si="123"/>
        <v>480310.46416987211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999</v>
      </c>
      <c r="G99" s="35">
        <f>SUMIFS(WORKING!$AC$3:$AC$6802,WORKING!$A$3:$A$6802,Results!$D$3,WORKING!$B$3:$B$6802,Results!A99,WORKING!$C$3:$C$6802,Results!C99)/1000</f>
        <v>315485.21921999997</v>
      </c>
      <c r="H99" s="35">
        <f t="shared" si="108"/>
        <v>315.80102024024023</v>
      </c>
      <c r="I99" s="187">
        <v>995</v>
      </c>
      <c r="J99" s="212">
        <v>315415</v>
      </c>
      <c r="K99" s="217">
        <f t="shared" si="109"/>
        <v>317</v>
      </c>
      <c r="L99" s="34">
        <f t="shared" si="102"/>
        <v>995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345.26232378972367</v>
      </c>
      <c r="N99" s="57">
        <v>30</v>
      </c>
      <c r="O99" s="57">
        <v>15</v>
      </c>
      <c r="P99" s="61">
        <f t="shared" si="103"/>
        <v>1010</v>
      </c>
      <c r="Q99" s="40">
        <f t="shared" si="110"/>
        <v>10357.869713691711</v>
      </c>
      <c r="R99" s="40">
        <f t="shared" si="111"/>
        <v>-5178.9348568458554</v>
      </c>
      <c r="S99" s="44">
        <f t="shared" si="112"/>
        <v>348714.94702762092</v>
      </c>
      <c r="T99" s="35">
        <f t="shared" si="113"/>
        <v>1010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374.67757919096982</v>
      </c>
      <c r="V99" s="57">
        <v>0</v>
      </c>
      <c r="W99" s="57">
        <v>16</v>
      </c>
      <c r="X99" s="61">
        <f t="shared" si="104"/>
        <v>994</v>
      </c>
      <c r="Y99" s="40">
        <f t="shared" si="114"/>
        <v>0</v>
      </c>
      <c r="Z99" s="40">
        <f t="shared" si="115"/>
        <v>-5994.8412670555172</v>
      </c>
      <c r="AA99" s="44">
        <f t="shared" si="116"/>
        <v>372429.513715824</v>
      </c>
      <c r="AB99" s="35">
        <f t="shared" si="117"/>
        <v>994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406.21903236101525</v>
      </c>
      <c r="AD99" s="57">
        <v>0</v>
      </c>
      <c r="AE99" s="57">
        <v>14</v>
      </c>
      <c r="AF99" s="61">
        <f t="shared" si="105"/>
        <v>980</v>
      </c>
      <c r="AG99" s="40">
        <f t="shared" si="118"/>
        <v>0</v>
      </c>
      <c r="AH99" s="40">
        <f t="shared" si="119"/>
        <v>-5687.0664530542135</v>
      </c>
      <c r="AI99" s="44">
        <f t="shared" si="120"/>
        <v>398094.65171379497</v>
      </c>
      <c r="AJ99" s="35">
        <f t="shared" si="106"/>
        <v>980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439.59199944215158</v>
      </c>
      <c r="AL99" s="57">
        <v>0</v>
      </c>
      <c r="AM99" s="57">
        <v>0</v>
      </c>
      <c r="AN99" s="61">
        <f t="shared" si="107"/>
        <v>980</v>
      </c>
      <c r="AO99" s="40">
        <f t="shared" si="121"/>
        <v>0</v>
      </c>
      <c r="AP99" s="40">
        <f t="shared" si="122"/>
        <v>0</v>
      </c>
      <c r="AQ99" s="44">
        <f t="shared" si="123"/>
        <v>430800.15945330856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339</v>
      </c>
      <c r="G100" s="35">
        <f>SUMIFS(WORKING!$AC$3:$AC$6802,WORKING!$A$3:$A$6802,Results!$D$3,WORKING!$B$3:$B$6802,Results!A100,WORKING!$C$3:$C$6802,Results!C100)/1000</f>
        <v>133535.02223999999</v>
      </c>
      <c r="H100" s="35">
        <f t="shared" si="108"/>
        <v>393.90862017699112</v>
      </c>
      <c r="I100" s="187">
        <v>307</v>
      </c>
      <c r="J100" s="212">
        <v>133545</v>
      </c>
      <c r="K100" s="217">
        <f t="shared" si="109"/>
        <v>435</v>
      </c>
      <c r="L100" s="34">
        <f t="shared" si="102"/>
        <v>307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473.9709608178797</v>
      </c>
      <c r="N100" s="57">
        <v>25</v>
      </c>
      <c r="O100" s="57">
        <v>5</v>
      </c>
      <c r="P100" s="61">
        <f t="shared" si="103"/>
        <v>327</v>
      </c>
      <c r="Q100" s="40">
        <f t="shared" si="110"/>
        <v>11849.274020446992</v>
      </c>
      <c r="R100" s="40">
        <f t="shared" si="111"/>
        <v>-2369.8548040893984</v>
      </c>
      <c r="S100" s="44">
        <f t="shared" si="112"/>
        <v>154988.50418744667</v>
      </c>
      <c r="T100" s="35">
        <f t="shared" si="113"/>
        <v>327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514.41005304497526</v>
      </c>
      <c r="V100" s="57">
        <v>0</v>
      </c>
      <c r="W100" s="57">
        <v>7</v>
      </c>
      <c r="X100" s="61">
        <f t="shared" si="104"/>
        <v>320</v>
      </c>
      <c r="Y100" s="40">
        <f t="shared" si="114"/>
        <v>0</v>
      </c>
      <c r="Z100" s="40">
        <f t="shared" si="115"/>
        <v>-3600.870371314827</v>
      </c>
      <c r="AA100" s="44">
        <f t="shared" si="116"/>
        <v>164611.21697439207</v>
      </c>
      <c r="AB100" s="35">
        <f t="shared" si="117"/>
        <v>320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557.77777622040765</v>
      </c>
      <c r="AD100" s="57">
        <v>0</v>
      </c>
      <c r="AE100" s="57">
        <v>3</v>
      </c>
      <c r="AF100" s="61">
        <f t="shared" si="105"/>
        <v>317</v>
      </c>
      <c r="AG100" s="40">
        <f t="shared" si="118"/>
        <v>0</v>
      </c>
      <c r="AH100" s="40">
        <f t="shared" si="119"/>
        <v>-1673.3333286612228</v>
      </c>
      <c r="AI100" s="44">
        <f t="shared" si="120"/>
        <v>176815.55506186924</v>
      </c>
      <c r="AJ100" s="35">
        <f t="shared" si="106"/>
        <v>317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603.67045000478447</v>
      </c>
      <c r="AL100" s="57">
        <v>0</v>
      </c>
      <c r="AM100" s="57">
        <v>0</v>
      </c>
      <c r="AN100" s="61">
        <f t="shared" si="107"/>
        <v>317</v>
      </c>
      <c r="AO100" s="40">
        <f t="shared" si="121"/>
        <v>0</v>
      </c>
      <c r="AP100" s="40">
        <f t="shared" si="122"/>
        <v>0</v>
      </c>
      <c r="AQ100" s="44">
        <f t="shared" si="123"/>
        <v>191363.53265151667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300</v>
      </c>
      <c r="G101" s="35">
        <f>SUMIFS(WORKING!$AC$3:$AC$6802,WORKING!$A$3:$A$6802,Results!$D$3,WORKING!$B$3:$B$6802,Results!A101,WORKING!$C$3:$C$6802,Results!C101)/1000</f>
        <v>148528.56781000001</v>
      </c>
      <c r="H101" s="35">
        <f t="shared" si="108"/>
        <v>495.09522603333335</v>
      </c>
      <c r="I101" s="187">
        <v>315</v>
      </c>
      <c r="J101" s="212">
        <v>148680</v>
      </c>
      <c r="K101" s="217">
        <f t="shared" si="109"/>
        <v>472</v>
      </c>
      <c r="L101" s="34">
        <f t="shared" si="102"/>
        <v>315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514.46369591235975</v>
      </c>
      <c r="N101" s="57">
        <v>15</v>
      </c>
      <c r="O101" s="57">
        <v>8</v>
      </c>
      <c r="P101" s="61">
        <f t="shared" si="103"/>
        <v>322</v>
      </c>
      <c r="Q101" s="40">
        <f t="shared" si="110"/>
        <v>7716.9554386853961</v>
      </c>
      <c r="R101" s="40">
        <f t="shared" si="111"/>
        <v>-4115.709567298878</v>
      </c>
      <c r="S101" s="44">
        <f t="shared" si="112"/>
        <v>165657.31008377983</v>
      </c>
      <c r="T101" s="35">
        <f t="shared" si="113"/>
        <v>322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558.41330457971753</v>
      </c>
      <c r="V101" s="57">
        <v>0</v>
      </c>
      <c r="W101" s="57">
        <v>6</v>
      </c>
      <c r="X101" s="61">
        <f t="shared" si="104"/>
        <v>316</v>
      </c>
      <c r="Y101" s="40">
        <f t="shared" si="114"/>
        <v>0</v>
      </c>
      <c r="Z101" s="40">
        <f t="shared" si="115"/>
        <v>-3350.4798274783052</v>
      </c>
      <c r="AA101" s="44">
        <f t="shared" si="116"/>
        <v>176458.60424719073</v>
      </c>
      <c r="AB101" s="35">
        <f t="shared" si="117"/>
        <v>316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605.55111249580432</v>
      </c>
      <c r="AD101" s="57">
        <v>0</v>
      </c>
      <c r="AE101" s="57">
        <v>4</v>
      </c>
      <c r="AF101" s="61">
        <f t="shared" si="105"/>
        <v>312</v>
      </c>
      <c r="AG101" s="40">
        <f t="shared" si="118"/>
        <v>0</v>
      </c>
      <c r="AH101" s="40">
        <f t="shared" si="119"/>
        <v>-2422.2044499832173</v>
      </c>
      <c r="AI101" s="44">
        <f t="shared" si="120"/>
        <v>188931.94709869096</v>
      </c>
      <c r="AJ101" s="35">
        <f t="shared" si="106"/>
        <v>312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655.43973508376473</v>
      </c>
      <c r="AL101" s="57">
        <v>0</v>
      </c>
      <c r="AM101" s="57">
        <v>0</v>
      </c>
      <c r="AN101" s="61">
        <f t="shared" si="107"/>
        <v>312</v>
      </c>
      <c r="AO101" s="40">
        <f t="shared" si="121"/>
        <v>0</v>
      </c>
      <c r="AP101" s="40">
        <f t="shared" si="122"/>
        <v>0</v>
      </c>
      <c r="AQ101" s="44">
        <f t="shared" si="123"/>
        <v>204497.19734613461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210</v>
      </c>
      <c r="G102" s="35">
        <f>SUMIFS(WORKING!$AC$3:$AC$6802,WORKING!$A$3:$A$6802,Results!$D$3,WORKING!$B$3:$B$6802,Results!A102,WORKING!$C$3:$C$6802,Results!C102)/1000</f>
        <v>131330.84229000006</v>
      </c>
      <c r="H102" s="35">
        <f t="shared" si="108"/>
        <v>625.38496328571455</v>
      </c>
      <c r="I102" s="187">
        <v>153</v>
      </c>
      <c r="J102" s="212">
        <v>131274</v>
      </c>
      <c r="K102" s="217">
        <f t="shared" si="109"/>
        <v>858</v>
      </c>
      <c r="L102" s="34">
        <f t="shared" si="102"/>
        <v>153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936.65093368496093</v>
      </c>
      <c r="N102" s="57">
        <v>7</v>
      </c>
      <c r="O102" s="57">
        <v>2</v>
      </c>
      <c r="P102" s="61">
        <f t="shared" si="103"/>
        <v>158</v>
      </c>
      <c r="Q102" s="40">
        <f t="shared" si="110"/>
        <v>6556.5565357947262</v>
      </c>
      <c r="R102" s="40">
        <f t="shared" si="111"/>
        <v>-1873.3018673699219</v>
      </c>
      <c r="S102" s="44">
        <f t="shared" si="112"/>
        <v>147990.84752222383</v>
      </c>
      <c r="T102" s="35">
        <f t="shared" si="113"/>
        <v>158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1016.8098842113724</v>
      </c>
      <c r="V102" s="57">
        <v>0</v>
      </c>
      <c r="W102" s="57">
        <v>0</v>
      </c>
      <c r="X102" s="61">
        <f t="shared" si="104"/>
        <v>158</v>
      </c>
      <c r="Y102" s="40">
        <f t="shared" si="114"/>
        <v>0</v>
      </c>
      <c r="Z102" s="40">
        <f t="shared" si="115"/>
        <v>0</v>
      </c>
      <c r="AA102" s="44">
        <f t="shared" si="116"/>
        <v>160655.96170539682</v>
      </c>
      <c r="AB102" s="35">
        <f t="shared" si="117"/>
        <v>158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1102.7972530774427</v>
      </c>
      <c r="AD102" s="57">
        <v>0</v>
      </c>
      <c r="AE102" s="57">
        <v>1</v>
      </c>
      <c r="AF102" s="61">
        <f t="shared" si="105"/>
        <v>157</v>
      </c>
      <c r="AG102" s="40">
        <f t="shared" si="118"/>
        <v>0</v>
      </c>
      <c r="AH102" s="40">
        <f t="shared" si="119"/>
        <v>-1102.7972530774427</v>
      </c>
      <c r="AI102" s="44">
        <f t="shared" si="120"/>
        <v>173139.1687331585</v>
      </c>
      <c r="AJ102" s="35">
        <f t="shared" si="106"/>
        <v>157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1193.8185045007515</v>
      </c>
      <c r="AL102" s="57">
        <v>0</v>
      </c>
      <c r="AM102" s="57">
        <v>0</v>
      </c>
      <c r="AN102" s="61">
        <f t="shared" si="107"/>
        <v>157</v>
      </c>
      <c r="AO102" s="40">
        <f t="shared" si="121"/>
        <v>0</v>
      </c>
      <c r="AP102" s="40">
        <f t="shared" si="122"/>
        <v>0</v>
      </c>
      <c r="AQ102" s="44">
        <f t="shared" si="123"/>
        <v>187429.50520661799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104</v>
      </c>
      <c r="G103" s="35">
        <f>SUMIFS(WORKING!$AC$3:$AC$6802,WORKING!$A$3:$A$6802,Results!$D$3,WORKING!$B$3:$B$6802,Results!A103,WORKING!$C$3:$C$6802,Results!C103)/1000</f>
        <v>79626.184539999958</v>
      </c>
      <c r="H103" s="35">
        <f t="shared" si="108"/>
        <v>765.6363898076919</v>
      </c>
      <c r="I103" s="187">
        <v>179</v>
      </c>
      <c r="J103" s="212">
        <v>113710</v>
      </c>
      <c r="K103" s="217">
        <f t="shared" si="109"/>
        <v>635.25139664804465</v>
      </c>
      <c r="L103" s="34">
        <f t="shared" si="102"/>
        <v>179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693.50409475236563</v>
      </c>
      <c r="N103" s="57">
        <v>6</v>
      </c>
      <c r="O103" s="57">
        <v>9</v>
      </c>
      <c r="P103" s="61">
        <f t="shared" si="103"/>
        <v>176</v>
      </c>
      <c r="Q103" s="40">
        <f t="shared" si="110"/>
        <v>4161.0245685141936</v>
      </c>
      <c r="R103" s="40">
        <f t="shared" si="111"/>
        <v>-6241.5368527712908</v>
      </c>
      <c r="S103" s="44">
        <f t="shared" si="112"/>
        <v>122056.72067641636</v>
      </c>
      <c r="T103" s="35">
        <f t="shared" si="113"/>
        <v>176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752.87683928657327</v>
      </c>
      <c r="V103" s="57">
        <v>0</v>
      </c>
      <c r="W103" s="57">
        <v>1</v>
      </c>
      <c r="X103" s="61">
        <f t="shared" si="104"/>
        <v>175</v>
      </c>
      <c r="Y103" s="40">
        <f t="shared" si="114"/>
        <v>0</v>
      </c>
      <c r="Z103" s="40">
        <f t="shared" si="115"/>
        <v>-752.87683928657327</v>
      </c>
      <c r="AA103" s="44">
        <f t="shared" si="116"/>
        <v>131753.44687515032</v>
      </c>
      <c r="AB103" s="35">
        <f t="shared" si="117"/>
        <v>175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816.56878134905662</v>
      </c>
      <c r="AD103" s="57">
        <v>0</v>
      </c>
      <c r="AE103" s="57">
        <v>1</v>
      </c>
      <c r="AF103" s="61">
        <f t="shared" si="105"/>
        <v>174</v>
      </c>
      <c r="AG103" s="40">
        <f t="shared" si="118"/>
        <v>0</v>
      </c>
      <c r="AH103" s="40">
        <f t="shared" si="119"/>
        <v>-816.56878134905662</v>
      </c>
      <c r="AI103" s="44">
        <f t="shared" si="120"/>
        <v>142082.96795473585</v>
      </c>
      <c r="AJ103" s="35">
        <f t="shared" si="106"/>
        <v>174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883.99197286530352</v>
      </c>
      <c r="AL103" s="57">
        <v>0</v>
      </c>
      <c r="AM103" s="57">
        <v>0</v>
      </c>
      <c r="AN103" s="61">
        <f t="shared" si="107"/>
        <v>174</v>
      </c>
      <c r="AO103" s="40">
        <f t="shared" si="121"/>
        <v>0</v>
      </c>
      <c r="AP103" s="40">
        <f t="shared" si="122"/>
        <v>0</v>
      </c>
      <c r="AQ103" s="44">
        <f t="shared" si="123"/>
        <v>153814.6032785628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55</v>
      </c>
      <c r="G104" s="35">
        <f>SUMIFS(WORKING!$AC$3:$AC$6802,WORKING!$A$3:$A$6802,Results!$D$3,WORKING!$B$3:$B$6802,Results!A104,WORKING!$C$3:$C$6802,Results!C104)/1000</f>
        <v>49420.833290000002</v>
      </c>
      <c r="H104" s="35">
        <f t="shared" si="108"/>
        <v>898.56060527272734</v>
      </c>
      <c r="I104" s="187">
        <v>40</v>
      </c>
      <c r="J104" s="212">
        <v>44440</v>
      </c>
      <c r="K104" s="217">
        <f t="shared" si="109"/>
        <v>1111</v>
      </c>
      <c r="L104" s="34">
        <f t="shared" si="102"/>
        <v>40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1164.0761323136433</v>
      </c>
      <c r="N104" s="57">
        <v>0</v>
      </c>
      <c r="O104" s="57">
        <v>0</v>
      </c>
      <c r="P104" s="61">
        <f t="shared" si="103"/>
        <v>40</v>
      </c>
      <c r="Q104" s="40">
        <f t="shared" si="110"/>
        <v>0</v>
      </c>
      <c r="R104" s="40">
        <f t="shared" si="111"/>
        <v>0</v>
      </c>
      <c r="S104" s="44">
        <f t="shared" si="112"/>
        <v>46563.045292545728</v>
      </c>
      <c r="T104" s="35">
        <f t="shared" si="113"/>
        <v>40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1251.567434283085</v>
      </c>
      <c r="V104" s="57">
        <v>0</v>
      </c>
      <c r="W104" s="57">
        <v>1</v>
      </c>
      <c r="X104" s="61">
        <f t="shared" si="104"/>
        <v>39</v>
      </c>
      <c r="Y104" s="40">
        <f t="shared" si="114"/>
        <v>0</v>
      </c>
      <c r="Z104" s="40">
        <f t="shared" si="115"/>
        <v>-1251.567434283085</v>
      </c>
      <c r="AA104" s="44">
        <f t="shared" si="116"/>
        <v>48811.129937040314</v>
      </c>
      <c r="AB104" s="35">
        <f t="shared" si="117"/>
        <v>39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1344.3650663526935</v>
      </c>
      <c r="AD104" s="57">
        <v>0</v>
      </c>
      <c r="AE104" s="57">
        <v>0</v>
      </c>
      <c r="AF104" s="61">
        <f t="shared" si="105"/>
        <v>39</v>
      </c>
      <c r="AG104" s="40">
        <f t="shared" si="118"/>
        <v>0</v>
      </c>
      <c r="AH104" s="40">
        <f t="shared" si="119"/>
        <v>0</v>
      </c>
      <c r="AI104" s="44">
        <f t="shared" si="120"/>
        <v>52430.237587755044</v>
      </c>
      <c r="AJ104" s="35">
        <f t="shared" si="106"/>
        <v>39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1441.3160084522115</v>
      </c>
      <c r="AL104" s="57">
        <v>0</v>
      </c>
      <c r="AM104" s="57">
        <v>0</v>
      </c>
      <c r="AN104" s="61">
        <f t="shared" si="107"/>
        <v>39</v>
      </c>
      <c r="AO104" s="40">
        <f t="shared" si="121"/>
        <v>0</v>
      </c>
      <c r="AP104" s="40">
        <f t="shared" si="122"/>
        <v>0</v>
      </c>
      <c r="AQ104" s="44">
        <f t="shared" si="123"/>
        <v>56211.324329636249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21</v>
      </c>
      <c r="G105" s="35">
        <f>SUMIFS(WORKING!$AC$3:$AC$6802,WORKING!$A$3:$A$6802,Results!$D$3,WORKING!$B$3:$B$6802,Results!A105,WORKING!$C$3:$C$6802,Results!C105)/1000</f>
        <v>23472.057919999999</v>
      </c>
      <c r="H105" s="35">
        <f t="shared" si="108"/>
        <v>1117.7170438095238</v>
      </c>
      <c r="I105" s="187">
        <v>15</v>
      </c>
      <c r="J105" s="212">
        <v>23475</v>
      </c>
      <c r="K105" s="217">
        <f t="shared" si="109"/>
        <v>1565</v>
      </c>
      <c r="L105" s="34">
        <f t="shared" si="102"/>
        <v>15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1640.484146020633</v>
      </c>
      <c r="N105" s="57">
        <v>0</v>
      </c>
      <c r="O105" s="57">
        <v>0</v>
      </c>
      <c r="P105" s="61">
        <f t="shared" si="103"/>
        <v>15</v>
      </c>
      <c r="Q105" s="40">
        <f t="shared" si="110"/>
        <v>0</v>
      </c>
      <c r="R105" s="40">
        <f t="shared" si="111"/>
        <v>0</v>
      </c>
      <c r="S105" s="44">
        <f t="shared" si="112"/>
        <v>24607.262190309495</v>
      </c>
      <c r="T105" s="35">
        <f t="shared" si="113"/>
        <v>15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1764.5553150789128</v>
      </c>
      <c r="V105" s="57">
        <v>0</v>
      </c>
      <c r="W105" s="57">
        <v>0</v>
      </c>
      <c r="X105" s="61">
        <f t="shared" si="104"/>
        <v>15</v>
      </c>
      <c r="Y105" s="40">
        <f t="shared" si="114"/>
        <v>0</v>
      </c>
      <c r="Z105" s="40">
        <f t="shared" si="115"/>
        <v>0</v>
      </c>
      <c r="AA105" s="44">
        <f t="shared" si="116"/>
        <v>26468.329726183692</v>
      </c>
      <c r="AB105" s="35">
        <f t="shared" si="117"/>
        <v>15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1896.2195134330914</v>
      </c>
      <c r="AD105" s="57">
        <v>0</v>
      </c>
      <c r="AE105" s="57">
        <v>1</v>
      </c>
      <c r="AF105" s="61">
        <f t="shared" si="105"/>
        <v>14</v>
      </c>
      <c r="AG105" s="40">
        <f t="shared" si="118"/>
        <v>0</v>
      </c>
      <c r="AH105" s="40">
        <f t="shared" si="119"/>
        <v>-1896.2195134330914</v>
      </c>
      <c r="AI105" s="44">
        <f t="shared" si="120"/>
        <v>26547.073188063281</v>
      </c>
      <c r="AJ105" s="35">
        <f t="shared" si="106"/>
        <v>14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2033.8596154159857</v>
      </c>
      <c r="AL105" s="57">
        <v>0</v>
      </c>
      <c r="AM105" s="57">
        <v>0</v>
      </c>
      <c r="AN105" s="61">
        <f t="shared" si="107"/>
        <v>14</v>
      </c>
      <c r="AO105" s="40">
        <f t="shared" si="121"/>
        <v>0</v>
      </c>
      <c r="AP105" s="40">
        <f t="shared" si="122"/>
        <v>0</v>
      </c>
      <c r="AQ105" s="44">
        <f t="shared" si="123"/>
        <v>28474.034615823799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4</v>
      </c>
      <c r="G106" s="35">
        <f>SUMIFS(WORKING!$AC$3:$AC$6802,WORKING!$A$3:$A$6802,Results!$D$3,WORKING!$B$3:$B$6802,Results!A106,WORKING!$C$3:$C$6802,Results!C106)/1000</f>
        <v>6111.0734300000004</v>
      </c>
      <c r="H106" s="35">
        <f t="shared" si="108"/>
        <v>1527.7683575000001</v>
      </c>
      <c r="I106" s="187">
        <v>0</v>
      </c>
      <c r="J106" s="212">
        <v>0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1601.5416539829873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1722.7589310051794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1851.4026300190058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1985.894942706637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>
        <v>0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>
        <v>0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>
        <v>0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>
        <v>0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>
        <v>0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13912</v>
      </c>
      <c r="G112" s="41">
        <f>SUM(G92:G111)</f>
        <v>3352936.8812099998</v>
      </c>
      <c r="H112" s="41">
        <f>IFERROR(G112/F112,0)</f>
        <v>241.0104141180276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13812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3381992</v>
      </c>
      <c r="K112" s="41">
        <f>IFERROR(J112/I112,"")</f>
        <v>244.85896322038806</v>
      </c>
      <c r="L112" s="41">
        <f>SUM(L92:L111)</f>
        <v>13812</v>
      </c>
      <c r="M112" s="41">
        <f>IFERROR(S112/P112,0)</f>
        <v>266.82279900018466</v>
      </c>
      <c r="N112" s="41">
        <f t="shared" ref="N112:T112" si="124">SUM(N92:N111)</f>
        <v>248</v>
      </c>
      <c r="O112" s="41">
        <f t="shared" si="124"/>
        <v>468</v>
      </c>
      <c r="P112" s="41">
        <f t="shared" si="124"/>
        <v>13592</v>
      </c>
      <c r="Q112" s="41">
        <f t="shared" si="124"/>
        <v>82327.502218848153</v>
      </c>
      <c r="R112" s="41">
        <f t="shared" si="124"/>
        <v>-132188.10858729476</v>
      </c>
      <c r="S112" s="45">
        <f t="shared" si="124"/>
        <v>3626655.4840105101</v>
      </c>
      <c r="T112" s="41">
        <f t="shared" si="124"/>
        <v>13592</v>
      </c>
      <c r="U112" s="41">
        <f>IFERROR(AA112/X112,0)</f>
        <v>289.76765986540568</v>
      </c>
      <c r="V112" s="41">
        <f t="shared" ref="V112:AB112" si="125">SUM(V92:V111)</f>
        <v>0</v>
      </c>
      <c r="W112" s="41">
        <f t="shared" si="125"/>
        <v>313</v>
      </c>
      <c r="X112" s="41">
        <f t="shared" si="125"/>
        <v>13279</v>
      </c>
      <c r="Y112" s="41">
        <f t="shared" si="125"/>
        <v>0</v>
      </c>
      <c r="Z112" s="41">
        <f t="shared" si="125"/>
        <v>-85747.828599610337</v>
      </c>
      <c r="AA112" s="45">
        <f t="shared" si="125"/>
        <v>3847824.755352722</v>
      </c>
      <c r="AB112" s="41">
        <f t="shared" si="125"/>
        <v>13279</v>
      </c>
      <c r="AC112" s="41">
        <f>IFERROR(AI112/AF112,0)</f>
        <v>314.77415111968998</v>
      </c>
      <c r="AD112" s="41">
        <f t="shared" ref="AD112:AJ112" si="126">SUM(AD92:AD111)</f>
        <v>0</v>
      </c>
      <c r="AE112" s="41">
        <f t="shared" si="126"/>
        <v>453</v>
      </c>
      <c r="AF112" s="41">
        <f t="shared" si="126"/>
        <v>12826</v>
      </c>
      <c r="AG112" s="41">
        <f t="shared" si="126"/>
        <v>0</v>
      </c>
      <c r="AH112" s="41">
        <f t="shared" si="126"/>
        <v>-132274.15702186397</v>
      </c>
      <c r="AI112" s="45">
        <f t="shared" si="126"/>
        <v>4037293.2622611439</v>
      </c>
      <c r="AJ112" s="41">
        <f t="shared" si="126"/>
        <v>12826</v>
      </c>
      <c r="AK112" s="41">
        <f>IFERROR(AQ112/AN112,0)</f>
        <v>340.45739109878269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12826</v>
      </c>
      <c r="AO112" s="41">
        <f t="shared" si="127"/>
        <v>0</v>
      </c>
      <c r="AP112" s="41">
        <f t="shared" si="127"/>
        <v>0</v>
      </c>
      <c r="AQ112" s="45">
        <f t="shared" si="127"/>
        <v>4366706.4982329868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3573436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3797819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4008473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4313116.9479999999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-53219.484010510147</v>
      </c>
      <c r="T114" s="39"/>
      <c r="U114" s="39"/>
      <c r="V114" s="53"/>
      <c r="W114" s="53"/>
      <c r="X114" s="110"/>
      <c r="Y114" s="39"/>
      <c r="Z114" s="39"/>
      <c r="AA114" s="54">
        <f>AA113-AA112</f>
        <v>-50005.755352722015</v>
      </c>
      <c r="AB114" s="39"/>
      <c r="AC114" s="53"/>
      <c r="AD114" s="53"/>
      <c r="AE114" s="110"/>
      <c r="AF114" s="39"/>
      <c r="AG114" s="39"/>
      <c r="AH114" s="39"/>
      <c r="AI114" s="54">
        <f>AI113-AI112</f>
        <v>-28820.262261143886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-53589.55023298692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State Legal Services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6</v>
      </c>
      <c r="G120" s="35">
        <f>SUMIFS(WORKING!$AC$3:$AC$6802,WORKING!$A$3:$A$6802,Results!$D$3,WORKING!$B$3:$B$6802,Results!A120,WORKING!$C$3:$C$6802,Results!C120)/1000</f>
        <v>34.5</v>
      </c>
      <c r="H120" s="35">
        <f>IFERROR(G120/F120,0)</f>
        <v>5.75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6.2798049999999996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6.8201822202499995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7.4001364153489568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8.0143847385049956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1.8</v>
      </c>
      <c r="H121" s="35">
        <f t="shared" ref="H121:H139" si="134">IFERROR(G121/F121,0)</f>
        <v>0</v>
      </c>
      <c r="I121" s="187">
        <v>0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70</v>
      </c>
      <c r="G122" s="35">
        <f>SUMIFS(WORKING!$AC$3:$AC$6802,WORKING!$A$3:$A$6802,Results!$D$3,WORKING!$B$3:$B$6802,Results!A122,WORKING!$C$3:$C$6802,Results!C122)/1000</f>
        <v>9611.1498499999998</v>
      </c>
      <c r="H122" s="35">
        <f t="shared" si="134"/>
        <v>137.30214071428571</v>
      </c>
      <c r="I122" s="187">
        <v>70</v>
      </c>
      <c r="J122" s="212">
        <v>9590</v>
      </c>
      <c r="K122" s="217">
        <f t="shared" si="135"/>
        <v>137</v>
      </c>
      <c r="L122" s="34">
        <f t="shared" si="128"/>
        <v>70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148.63163460456212</v>
      </c>
      <c r="N122" s="57">
        <v>4</v>
      </c>
      <c r="O122" s="57">
        <v>0</v>
      </c>
      <c r="P122" s="61">
        <f t="shared" si="129"/>
        <v>74</v>
      </c>
      <c r="Q122" s="40">
        <f t="shared" si="136"/>
        <v>594.52653841824849</v>
      </c>
      <c r="R122" s="40">
        <f t="shared" si="137"/>
        <v>0</v>
      </c>
      <c r="S122" s="44">
        <f t="shared" si="138"/>
        <v>10998.740960737598</v>
      </c>
      <c r="T122" s="35">
        <f t="shared" si="139"/>
        <v>74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161.11414853802634</v>
      </c>
      <c r="V122" s="57">
        <v>0</v>
      </c>
      <c r="W122" s="57">
        <v>0</v>
      </c>
      <c r="X122" s="61">
        <f t="shared" si="130"/>
        <v>74</v>
      </c>
      <c r="Y122" s="40">
        <f t="shared" si="140"/>
        <v>0</v>
      </c>
      <c r="Z122" s="40">
        <f t="shared" si="141"/>
        <v>0</v>
      </c>
      <c r="AA122" s="44">
        <f t="shared" si="142"/>
        <v>11922.446991813949</v>
      </c>
      <c r="AB122" s="35">
        <f t="shared" si="143"/>
        <v>74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174.48184101045223</v>
      </c>
      <c r="AD122" s="57">
        <v>0</v>
      </c>
      <c r="AE122" s="57">
        <v>0</v>
      </c>
      <c r="AF122" s="61">
        <f t="shared" si="131"/>
        <v>74</v>
      </c>
      <c r="AG122" s="40">
        <f t="shared" si="144"/>
        <v>0</v>
      </c>
      <c r="AH122" s="40">
        <f t="shared" si="145"/>
        <v>0</v>
      </c>
      <c r="AI122" s="44">
        <f t="shared" si="146"/>
        <v>12911.656234773465</v>
      </c>
      <c r="AJ122" s="35">
        <f t="shared" si="132"/>
        <v>74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188.60530574738391</v>
      </c>
      <c r="AL122" s="57">
        <v>0</v>
      </c>
      <c r="AM122" s="57">
        <v>0</v>
      </c>
      <c r="AN122" s="61">
        <f t="shared" si="133"/>
        <v>74</v>
      </c>
      <c r="AO122" s="40">
        <f t="shared" si="147"/>
        <v>0</v>
      </c>
      <c r="AP122" s="40">
        <f t="shared" si="148"/>
        <v>0</v>
      </c>
      <c r="AQ122" s="44">
        <f t="shared" si="149"/>
        <v>13956.792625306409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81</v>
      </c>
      <c r="G123" s="35">
        <f>SUMIFS(WORKING!$AC$3:$AC$6802,WORKING!$A$3:$A$6802,Results!$D$3,WORKING!$B$3:$B$6802,Results!A123,WORKING!$C$3:$C$6802,Results!C123)/1000</f>
        <v>14216.586650000007</v>
      </c>
      <c r="H123" s="35">
        <f t="shared" si="134"/>
        <v>175.51341543209884</v>
      </c>
      <c r="I123" s="187">
        <v>80</v>
      </c>
      <c r="J123" s="212">
        <v>14241</v>
      </c>
      <c r="K123" s="217">
        <f t="shared" si="135"/>
        <v>178.01249999999999</v>
      </c>
      <c r="L123" s="34">
        <f t="shared" si="128"/>
        <v>80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193.29106796349919</v>
      </c>
      <c r="N123" s="57">
        <v>5</v>
      </c>
      <c r="O123" s="57">
        <v>0</v>
      </c>
      <c r="P123" s="61">
        <f t="shared" si="129"/>
        <v>85</v>
      </c>
      <c r="Q123" s="40">
        <f t="shared" si="136"/>
        <v>966.455339817496</v>
      </c>
      <c r="R123" s="40">
        <f t="shared" si="137"/>
        <v>0</v>
      </c>
      <c r="S123" s="44">
        <f t="shared" si="138"/>
        <v>16429.74077689743</v>
      </c>
      <c r="T123" s="35">
        <f t="shared" si="139"/>
        <v>85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209.57519255043132</v>
      </c>
      <c r="V123" s="57">
        <v>0</v>
      </c>
      <c r="W123" s="57">
        <v>0</v>
      </c>
      <c r="X123" s="61">
        <f t="shared" si="130"/>
        <v>85</v>
      </c>
      <c r="Y123" s="40">
        <f t="shared" si="140"/>
        <v>0</v>
      </c>
      <c r="Z123" s="40">
        <f t="shared" si="141"/>
        <v>0</v>
      </c>
      <c r="AA123" s="44">
        <f t="shared" si="142"/>
        <v>17813.891366786662</v>
      </c>
      <c r="AB123" s="35">
        <f t="shared" si="143"/>
        <v>85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227.01893782608718</v>
      </c>
      <c r="AD123" s="57">
        <v>0</v>
      </c>
      <c r="AE123" s="57">
        <v>0</v>
      </c>
      <c r="AF123" s="61">
        <f t="shared" si="131"/>
        <v>85</v>
      </c>
      <c r="AG123" s="40">
        <f t="shared" si="144"/>
        <v>0</v>
      </c>
      <c r="AH123" s="40">
        <f t="shared" si="145"/>
        <v>0</v>
      </c>
      <c r="AI123" s="44">
        <f t="shared" si="146"/>
        <v>19296.609715217412</v>
      </c>
      <c r="AJ123" s="35">
        <f t="shared" si="132"/>
        <v>85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245.45473352946021</v>
      </c>
      <c r="AL123" s="57">
        <v>0</v>
      </c>
      <c r="AM123" s="57">
        <v>0</v>
      </c>
      <c r="AN123" s="61">
        <f t="shared" si="133"/>
        <v>85</v>
      </c>
      <c r="AO123" s="40">
        <f t="shared" si="147"/>
        <v>0</v>
      </c>
      <c r="AP123" s="40">
        <f t="shared" si="148"/>
        <v>0</v>
      </c>
      <c r="AQ123" s="44">
        <f t="shared" si="149"/>
        <v>20863.652350004118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731</v>
      </c>
      <c r="G124" s="35">
        <f>SUMIFS(WORKING!$AC$3:$AC$6802,WORKING!$A$3:$A$6802,Results!$D$3,WORKING!$B$3:$B$6802,Results!A124,WORKING!$C$3:$C$6802,Results!C124)/1000</f>
        <v>132037.32517999999</v>
      </c>
      <c r="H124" s="35">
        <f t="shared" si="134"/>
        <v>180.62561584131325</v>
      </c>
      <c r="I124" s="187">
        <v>726</v>
      </c>
      <c r="J124" s="212">
        <v>131132</v>
      </c>
      <c r="K124" s="217">
        <f t="shared" si="135"/>
        <v>180.62258953168043</v>
      </c>
      <c r="L124" s="34">
        <f t="shared" si="128"/>
        <v>726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196.23303420741715</v>
      </c>
      <c r="N124" s="57">
        <v>30</v>
      </c>
      <c r="O124" s="57">
        <v>63</v>
      </c>
      <c r="P124" s="61">
        <f t="shared" si="129"/>
        <v>693</v>
      </c>
      <c r="Q124" s="40">
        <f t="shared" si="136"/>
        <v>5886.9910262225148</v>
      </c>
      <c r="R124" s="40">
        <f t="shared" si="137"/>
        <v>-12362.681155067281</v>
      </c>
      <c r="S124" s="44">
        <f t="shared" si="138"/>
        <v>135989.49270574009</v>
      </c>
      <c r="T124" s="35">
        <f t="shared" si="139"/>
        <v>693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212.79853563957536</v>
      </c>
      <c r="V124" s="57">
        <v>0</v>
      </c>
      <c r="W124" s="57">
        <v>36</v>
      </c>
      <c r="X124" s="61">
        <f t="shared" si="130"/>
        <v>657</v>
      </c>
      <c r="Y124" s="40">
        <f t="shared" si="140"/>
        <v>0</v>
      </c>
      <c r="Z124" s="40">
        <f t="shared" si="141"/>
        <v>-7660.7472830247134</v>
      </c>
      <c r="AA124" s="44">
        <f t="shared" si="142"/>
        <v>139808.63791520102</v>
      </c>
      <c r="AB124" s="35">
        <f t="shared" si="143"/>
        <v>657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230.54688674536439</v>
      </c>
      <c r="AD124" s="57">
        <v>0</v>
      </c>
      <c r="AE124" s="57">
        <v>57</v>
      </c>
      <c r="AF124" s="61">
        <f t="shared" si="131"/>
        <v>600</v>
      </c>
      <c r="AG124" s="40">
        <f t="shared" si="144"/>
        <v>0</v>
      </c>
      <c r="AH124" s="40">
        <f t="shared" si="145"/>
        <v>-13141.172544485769</v>
      </c>
      <c r="AI124" s="44">
        <f t="shared" si="146"/>
        <v>138328.13204721862</v>
      </c>
      <c r="AJ124" s="35">
        <f t="shared" si="132"/>
        <v>600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249.30843412002315</v>
      </c>
      <c r="AL124" s="57">
        <v>0</v>
      </c>
      <c r="AM124" s="57">
        <v>0</v>
      </c>
      <c r="AN124" s="61">
        <f t="shared" si="133"/>
        <v>600</v>
      </c>
      <c r="AO124" s="40">
        <f t="shared" si="147"/>
        <v>0</v>
      </c>
      <c r="AP124" s="40">
        <f t="shared" si="148"/>
        <v>0</v>
      </c>
      <c r="AQ124" s="44">
        <f t="shared" si="149"/>
        <v>149585.06047201389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136</v>
      </c>
      <c r="G125" s="35">
        <f>SUMIFS(WORKING!$AC$3:$AC$6802,WORKING!$A$3:$A$6802,Results!$D$3,WORKING!$B$3:$B$6802,Results!A125,WORKING!$C$3:$C$6802,Results!C125)/1000</f>
        <v>32718.80841999999</v>
      </c>
      <c r="H125" s="35">
        <f t="shared" si="134"/>
        <v>240.57947367647051</v>
      </c>
      <c r="I125" s="187">
        <v>96</v>
      </c>
      <c r="J125" s="212">
        <v>25736</v>
      </c>
      <c r="K125" s="217">
        <f t="shared" si="135"/>
        <v>268.08333333333331</v>
      </c>
      <c r="L125" s="34">
        <f t="shared" si="128"/>
        <v>96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291.74332417269721</v>
      </c>
      <c r="N125" s="57">
        <v>2</v>
      </c>
      <c r="O125" s="57">
        <v>0</v>
      </c>
      <c r="P125" s="61">
        <f t="shared" si="129"/>
        <v>98</v>
      </c>
      <c r="Q125" s="40">
        <f t="shared" si="136"/>
        <v>583.48664834539443</v>
      </c>
      <c r="R125" s="40">
        <f t="shared" si="137"/>
        <v>0</v>
      </c>
      <c r="S125" s="44">
        <f t="shared" si="138"/>
        <v>28590.845768924326</v>
      </c>
      <c r="T125" s="35">
        <f t="shared" si="139"/>
        <v>98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316.52394014032853</v>
      </c>
      <c r="V125" s="57">
        <v>0</v>
      </c>
      <c r="W125" s="57">
        <v>0</v>
      </c>
      <c r="X125" s="61">
        <f t="shared" si="130"/>
        <v>98</v>
      </c>
      <c r="Y125" s="40">
        <f t="shared" si="140"/>
        <v>0</v>
      </c>
      <c r="Z125" s="40">
        <f t="shared" si="141"/>
        <v>0</v>
      </c>
      <c r="AA125" s="44">
        <f t="shared" si="142"/>
        <v>31019.346133752195</v>
      </c>
      <c r="AB125" s="35">
        <f t="shared" si="143"/>
        <v>98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343.08858352683478</v>
      </c>
      <c r="AD125" s="57">
        <v>0</v>
      </c>
      <c r="AE125" s="57">
        <v>0</v>
      </c>
      <c r="AF125" s="61">
        <f t="shared" si="131"/>
        <v>98</v>
      </c>
      <c r="AG125" s="40">
        <f t="shared" si="144"/>
        <v>0</v>
      </c>
      <c r="AH125" s="40">
        <f t="shared" si="145"/>
        <v>0</v>
      </c>
      <c r="AI125" s="44">
        <f t="shared" si="146"/>
        <v>33622.681185629808</v>
      </c>
      <c r="AJ125" s="35">
        <f t="shared" si="132"/>
        <v>98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371.18717758826915</v>
      </c>
      <c r="AL125" s="57">
        <v>0</v>
      </c>
      <c r="AM125" s="57">
        <v>0</v>
      </c>
      <c r="AN125" s="61">
        <f t="shared" si="133"/>
        <v>98</v>
      </c>
      <c r="AO125" s="40">
        <f t="shared" si="147"/>
        <v>0</v>
      </c>
      <c r="AP125" s="40">
        <f t="shared" si="148"/>
        <v>0</v>
      </c>
      <c r="AQ125" s="44">
        <f t="shared" si="149"/>
        <v>36376.343403650375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269</v>
      </c>
      <c r="G126" s="35">
        <f>SUMIFS(WORKING!$AC$3:$AC$6802,WORKING!$A$3:$A$6802,Results!$D$3,WORKING!$B$3:$B$6802,Results!A126,WORKING!$C$3:$C$6802,Results!C126)/1000</f>
        <v>72291.155159999995</v>
      </c>
      <c r="H126" s="35">
        <f t="shared" si="134"/>
        <v>268.74035375464683</v>
      </c>
      <c r="I126" s="187">
        <v>306</v>
      </c>
      <c r="J126" s="212">
        <v>102216</v>
      </c>
      <c r="K126" s="217">
        <f t="shared" si="135"/>
        <v>334.03921568627453</v>
      </c>
      <c r="L126" s="34">
        <f t="shared" si="128"/>
        <v>306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363.67589622975981</v>
      </c>
      <c r="N126" s="57">
        <v>20</v>
      </c>
      <c r="O126" s="57">
        <v>10</v>
      </c>
      <c r="P126" s="61">
        <f t="shared" si="129"/>
        <v>316</v>
      </c>
      <c r="Q126" s="40">
        <f t="shared" si="136"/>
        <v>7273.5179245951967</v>
      </c>
      <c r="R126" s="40">
        <f t="shared" si="137"/>
        <v>-3636.7589622975984</v>
      </c>
      <c r="S126" s="44">
        <f t="shared" si="138"/>
        <v>114921.5832086041</v>
      </c>
      <c r="T126" s="35">
        <f t="shared" si="139"/>
        <v>316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394.61525721126878</v>
      </c>
      <c r="V126" s="57">
        <v>0</v>
      </c>
      <c r="W126" s="57">
        <v>0</v>
      </c>
      <c r="X126" s="61">
        <f t="shared" si="130"/>
        <v>316</v>
      </c>
      <c r="Y126" s="40">
        <f t="shared" si="140"/>
        <v>0</v>
      </c>
      <c r="Z126" s="40">
        <f t="shared" si="141"/>
        <v>0</v>
      </c>
      <c r="AA126" s="44">
        <f t="shared" si="142"/>
        <v>124698.42127876093</v>
      </c>
      <c r="AB126" s="35">
        <f t="shared" si="143"/>
        <v>316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427.78668653964417</v>
      </c>
      <c r="AD126" s="57">
        <v>0</v>
      </c>
      <c r="AE126" s="57">
        <v>0</v>
      </c>
      <c r="AF126" s="61">
        <f t="shared" si="131"/>
        <v>316</v>
      </c>
      <c r="AG126" s="40">
        <f t="shared" si="144"/>
        <v>0</v>
      </c>
      <c r="AH126" s="40">
        <f t="shared" si="145"/>
        <v>0</v>
      </c>
      <c r="AI126" s="44">
        <f t="shared" si="146"/>
        <v>135180.59294652755</v>
      </c>
      <c r="AJ126" s="35">
        <f t="shared" si="132"/>
        <v>316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462.87911949704539</v>
      </c>
      <c r="AL126" s="57">
        <v>0</v>
      </c>
      <c r="AM126" s="57">
        <v>0</v>
      </c>
      <c r="AN126" s="61">
        <f t="shared" si="133"/>
        <v>316</v>
      </c>
      <c r="AO126" s="40">
        <f t="shared" si="147"/>
        <v>0</v>
      </c>
      <c r="AP126" s="40">
        <f t="shared" si="148"/>
        <v>0</v>
      </c>
      <c r="AQ126" s="44">
        <f t="shared" si="149"/>
        <v>146269.80176106634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82</v>
      </c>
      <c r="G127" s="35">
        <f>SUMIFS(WORKING!$AC$3:$AC$6802,WORKING!$A$3:$A$6802,Results!$D$3,WORKING!$B$3:$B$6802,Results!A127,WORKING!$C$3:$C$6802,Results!C127)/1000</f>
        <v>28234.642840000004</v>
      </c>
      <c r="H127" s="35">
        <f t="shared" si="134"/>
        <v>344.32491268292688</v>
      </c>
      <c r="I127" s="187">
        <v>83</v>
      </c>
      <c r="J127" s="212">
        <v>35220</v>
      </c>
      <c r="K127" s="217">
        <f t="shared" si="135"/>
        <v>424.33734939759034</v>
      </c>
      <c r="L127" s="34">
        <f t="shared" si="128"/>
        <v>83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462.13128971253406</v>
      </c>
      <c r="N127" s="57">
        <v>9</v>
      </c>
      <c r="O127" s="57">
        <v>0</v>
      </c>
      <c r="P127" s="61">
        <f t="shared" si="129"/>
        <v>92</v>
      </c>
      <c r="Q127" s="40">
        <f t="shared" si="136"/>
        <v>4159.1816074128064</v>
      </c>
      <c r="R127" s="40">
        <f t="shared" si="137"/>
        <v>0</v>
      </c>
      <c r="S127" s="44">
        <f t="shared" si="138"/>
        <v>42516.07865355313</v>
      </c>
      <c r="T127" s="35">
        <f t="shared" si="139"/>
        <v>92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501.49220254694308</v>
      </c>
      <c r="V127" s="57">
        <v>0</v>
      </c>
      <c r="W127" s="57">
        <v>0</v>
      </c>
      <c r="X127" s="61">
        <f t="shared" si="130"/>
        <v>92</v>
      </c>
      <c r="Y127" s="40">
        <f t="shared" si="140"/>
        <v>0</v>
      </c>
      <c r="Z127" s="40">
        <f t="shared" si="141"/>
        <v>0</v>
      </c>
      <c r="AA127" s="44">
        <f t="shared" si="142"/>
        <v>46137.282634318763</v>
      </c>
      <c r="AB127" s="35">
        <f t="shared" si="143"/>
        <v>92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543.69710251908282</v>
      </c>
      <c r="AD127" s="57">
        <v>0</v>
      </c>
      <c r="AE127" s="57">
        <v>0</v>
      </c>
      <c r="AF127" s="61">
        <f t="shared" si="131"/>
        <v>92</v>
      </c>
      <c r="AG127" s="40">
        <f t="shared" si="144"/>
        <v>0</v>
      </c>
      <c r="AH127" s="40">
        <f t="shared" si="145"/>
        <v>0</v>
      </c>
      <c r="AI127" s="44">
        <f t="shared" si="146"/>
        <v>50020.133431755617</v>
      </c>
      <c r="AJ127" s="35">
        <f t="shared" si="132"/>
        <v>92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588.3513563344452</v>
      </c>
      <c r="AL127" s="57">
        <v>0</v>
      </c>
      <c r="AM127" s="57">
        <v>0</v>
      </c>
      <c r="AN127" s="61">
        <f t="shared" si="133"/>
        <v>92</v>
      </c>
      <c r="AO127" s="40">
        <f t="shared" si="147"/>
        <v>0</v>
      </c>
      <c r="AP127" s="40">
        <f t="shared" si="148"/>
        <v>0</v>
      </c>
      <c r="AQ127" s="44">
        <f t="shared" si="149"/>
        <v>54128.324782768956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292</v>
      </c>
      <c r="G128" s="35">
        <f>SUMIFS(WORKING!$AC$3:$AC$6802,WORKING!$A$3:$A$6802,Results!$D$3,WORKING!$B$3:$B$6802,Results!A128,WORKING!$C$3:$C$6802,Results!C128)/1000</f>
        <v>124284.80776000003</v>
      </c>
      <c r="H128" s="35">
        <f t="shared" si="134"/>
        <v>425.6329032876713</v>
      </c>
      <c r="I128" s="187">
        <v>292</v>
      </c>
      <c r="J128" s="212">
        <v>130392</v>
      </c>
      <c r="K128" s="217">
        <f t="shared" si="135"/>
        <v>446.54794520547944</v>
      </c>
      <c r="L128" s="34">
        <f t="shared" si="128"/>
        <v>292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486.634995433445</v>
      </c>
      <c r="N128" s="57">
        <v>4</v>
      </c>
      <c r="O128" s="57">
        <v>8</v>
      </c>
      <c r="P128" s="61">
        <f t="shared" si="129"/>
        <v>288</v>
      </c>
      <c r="Q128" s="40">
        <f t="shared" si="136"/>
        <v>1946.53998173378</v>
      </c>
      <c r="R128" s="40">
        <f t="shared" si="137"/>
        <v>-3893.07996346756</v>
      </c>
      <c r="S128" s="44">
        <f t="shared" si="138"/>
        <v>140150.87868483216</v>
      </c>
      <c r="T128" s="35">
        <f t="shared" si="139"/>
        <v>288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528.17983081729051</v>
      </c>
      <c r="V128" s="57">
        <v>0</v>
      </c>
      <c r="W128" s="57">
        <v>9</v>
      </c>
      <c r="X128" s="61">
        <f t="shared" si="130"/>
        <v>279</v>
      </c>
      <c r="Y128" s="40">
        <f t="shared" si="140"/>
        <v>0</v>
      </c>
      <c r="Z128" s="40">
        <f t="shared" si="141"/>
        <v>-4753.6184773556142</v>
      </c>
      <c r="AA128" s="44">
        <f t="shared" si="142"/>
        <v>147362.17279802405</v>
      </c>
      <c r="AB128" s="35">
        <f t="shared" si="143"/>
        <v>279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572.73580381772831</v>
      </c>
      <c r="AD128" s="57">
        <v>0</v>
      </c>
      <c r="AE128" s="57">
        <v>15</v>
      </c>
      <c r="AF128" s="61">
        <f t="shared" si="131"/>
        <v>264</v>
      </c>
      <c r="AG128" s="40">
        <f t="shared" si="144"/>
        <v>0</v>
      </c>
      <c r="AH128" s="40">
        <f t="shared" si="145"/>
        <v>-8591.0370572659249</v>
      </c>
      <c r="AI128" s="44">
        <f t="shared" si="146"/>
        <v>151202.25220788029</v>
      </c>
      <c r="AJ128" s="35">
        <f t="shared" si="132"/>
        <v>264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619.88881721707025</v>
      </c>
      <c r="AL128" s="57">
        <v>0</v>
      </c>
      <c r="AM128" s="57">
        <v>0</v>
      </c>
      <c r="AN128" s="61">
        <f t="shared" si="133"/>
        <v>264</v>
      </c>
      <c r="AO128" s="40">
        <f t="shared" si="147"/>
        <v>0</v>
      </c>
      <c r="AP128" s="40">
        <f t="shared" si="148"/>
        <v>0</v>
      </c>
      <c r="AQ128" s="44">
        <f t="shared" si="149"/>
        <v>163650.64774530655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55</v>
      </c>
      <c r="G129" s="35">
        <f>SUMIFS(WORKING!$AC$3:$AC$6802,WORKING!$A$3:$A$6802,Results!$D$3,WORKING!$B$3:$B$6802,Results!A129,WORKING!$C$3:$C$6802,Results!C129)/1000</f>
        <v>29576.042790000007</v>
      </c>
      <c r="H129" s="35">
        <f t="shared" si="134"/>
        <v>537.74623254545463</v>
      </c>
      <c r="I129" s="187">
        <v>52</v>
      </c>
      <c r="J129" s="212">
        <v>30588</v>
      </c>
      <c r="K129" s="217">
        <f t="shared" si="135"/>
        <v>588.23076923076928</v>
      </c>
      <c r="L129" s="34">
        <f t="shared" si="128"/>
        <v>52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641.33915071009267</v>
      </c>
      <c r="N129" s="57">
        <v>15</v>
      </c>
      <c r="O129" s="57">
        <v>10</v>
      </c>
      <c r="P129" s="61">
        <f t="shared" si="129"/>
        <v>57</v>
      </c>
      <c r="Q129" s="40">
        <f t="shared" si="136"/>
        <v>9620.0872606513894</v>
      </c>
      <c r="R129" s="40">
        <f t="shared" si="137"/>
        <v>-6413.3915071009269</v>
      </c>
      <c r="S129" s="44">
        <f t="shared" si="138"/>
        <v>36556.331590475282</v>
      </c>
      <c r="T129" s="35">
        <f t="shared" si="139"/>
        <v>57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696.18588231838169</v>
      </c>
      <c r="V129" s="57">
        <v>0</v>
      </c>
      <c r="W129" s="57">
        <v>0</v>
      </c>
      <c r="X129" s="61">
        <f t="shared" si="130"/>
        <v>57</v>
      </c>
      <c r="Y129" s="40">
        <f t="shared" si="140"/>
        <v>0</v>
      </c>
      <c r="Z129" s="40">
        <f t="shared" si="141"/>
        <v>0</v>
      </c>
      <c r="AA129" s="44">
        <f t="shared" si="142"/>
        <v>39682.595292147758</v>
      </c>
      <c r="AB129" s="35">
        <f t="shared" si="143"/>
        <v>57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755.01692170366118</v>
      </c>
      <c r="AD129" s="57">
        <v>0</v>
      </c>
      <c r="AE129" s="57">
        <v>0</v>
      </c>
      <c r="AF129" s="61">
        <f t="shared" si="131"/>
        <v>57</v>
      </c>
      <c r="AG129" s="40">
        <f t="shared" si="144"/>
        <v>0</v>
      </c>
      <c r="AH129" s="40">
        <f t="shared" si="145"/>
        <v>0</v>
      </c>
      <c r="AI129" s="44">
        <f t="shared" si="146"/>
        <v>43035.964537108688</v>
      </c>
      <c r="AJ129" s="35">
        <f t="shared" si="132"/>
        <v>57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817.28785403312463</v>
      </c>
      <c r="AL129" s="57">
        <v>0</v>
      </c>
      <c r="AM129" s="57">
        <v>0</v>
      </c>
      <c r="AN129" s="61">
        <f t="shared" si="133"/>
        <v>57</v>
      </c>
      <c r="AO129" s="40">
        <f t="shared" si="147"/>
        <v>0</v>
      </c>
      <c r="AP129" s="40">
        <f t="shared" si="148"/>
        <v>0</v>
      </c>
      <c r="AQ129" s="44">
        <f t="shared" si="149"/>
        <v>46585.407679888107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75</v>
      </c>
      <c r="G130" s="35">
        <f>SUMIFS(WORKING!$AC$3:$AC$6802,WORKING!$A$3:$A$6802,Results!$D$3,WORKING!$B$3:$B$6802,Results!A130,WORKING!$C$3:$C$6802,Results!C130)/1000</f>
        <v>49489.173960000022</v>
      </c>
      <c r="H130" s="35">
        <f t="shared" si="134"/>
        <v>659.85565280000026</v>
      </c>
      <c r="I130" s="187">
        <v>3</v>
      </c>
      <c r="J130" s="212">
        <v>2180</v>
      </c>
      <c r="K130" s="217">
        <f t="shared" si="135"/>
        <v>726.66666666666663</v>
      </c>
      <c r="L130" s="34">
        <f t="shared" si="128"/>
        <v>3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793.29834605197118</v>
      </c>
      <c r="N130" s="57">
        <v>2</v>
      </c>
      <c r="O130" s="57">
        <v>0</v>
      </c>
      <c r="P130" s="61">
        <f t="shared" si="129"/>
        <v>5</v>
      </c>
      <c r="Q130" s="40">
        <f t="shared" si="136"/>
        <v>1586.5966921039424</v>
      </c>
      <c r="R130" s="40">
        <f t="shared" si="137"/>
        <v>0</v>
      </c>
      <c r="S130" s="44">
        <f t="shared" si="138"/>
        <v>3966.491730259856</v>
      </c>
      <c r="T130" s="35">
        <f t="shared" si="139"/>
        <v>5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861.21059708682594</v>
      </c>
      <c r="V130" s="57">
        <v>0</v>
      </c>
      <c r="W130" s="57">
        <v>0</v>
      </c>
      <c r="X130" s="61">
        <f t="shared" si="130"/>
        <v>5</v>
      </c>
      <c r="Y130" s="40">
        <f t="shared" si="140"/>
        <v>0</v>
      </c>
      <c r="Z130" s="40">
        <f t="shared" si="141"/>
        <v>0</v>
      </c>
      <c r="AA130" s="44">
        <f t="shared" si="142"/>
        <v>4306.0529854341294</v>
      </c>
      <c r="AB130" s="35">
        <f t="shared" si="143"/>
        <v>5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934.06287041046119</v>
      </c>
      <c r="AD130" s="57">
        <v>0</v>
      </c>
      <c r="AE130" s="57">
        <v>0</v>
      </c>
      <c r="AF130" s="61">
        <f t="shared" si="131"/>
        <v>5</v>
      </c>
      <c r="AG130" s="40">
        <f t="shared" si="144"/>
        <v>0</v>
      </c>
      <c r="AH130" s="40">
        <f t="shared" si="145"/>
        <v>0</v>
      </c>
      <c r="AI130" s="44">
        <f t="shared" si="146"/>
        <v>4670.3143520523063</v>
      </c>
      <c r="AJ130" s="35">
        <f t="shared" si="132"/>
        <v>5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1011.1825514080211</v>
      </c>
      <c r="AL130" s="57">
        <v>0</v>
      </c>
      <c r="AM130" s="57">
        <v>0</v>
      </c>
      <c r="AN130" s="61">
        <f t="shared" si="133"/>
        <v>5</v>
      </c>
      <c r="AO130" s="40">
        <f t="shared" si="147"/>
        <v>0</v>
      </c>
      <c r="AP130" s="40">
        <f t="shared" si="148"/>
        <v>0</v>
      </c>
      <c r="AQ130" s="44">
        <f t="shared" si="149"/>
        <v>5055.912757040106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249</v>
      </c>
      <c r="G131" s="35">
        <f>SUMIFS(WORKING!$AC$3:$AC$6802,WORKING!$A$3:$A$6802,Results!$D$3,WORKING!$B$3:$B$6802,Results!A131,WORKING!$C$3:$C$6802,Results!C131)/1000</f>
        <v>160321.02950999996</v>
      </c>
      <c r="H131" s="35">
        <f t="shared" si="134"/>
        <v>643.85955626506006</v>
      </c>
      <c r="I131" s="187">
        <v>396</v>
      </c>
      <c r="J131" s="212">
        <v>326709</v>
      </c>
      <c r="K131" s="217">
        <f t="shared" si="135"/>
        <v>825.02272727272725</v>
      </c>
      <c r="L131" s="34">
        <f t="shared" si="128"/>
        <v>396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900.70000397883746</v>
      </c>
      <c r="N131" s="57">
        <v>30</v>
      </c>
      <c r="O131" s="57">
        <v>15</v>
      </c>
      <c r="P131" s="61">
        <f t="shared" si="129"/>
        <v>411</v>
      </c>
      <c r="Q131" s="40">
        <f t="shared" si="136"/>
        <v>27021.000119365122</v>
      </c>
      <c r="R131" s="40">
        <f t="shared" si="137"/>
        <v>-13510.500059682561</v>
      </c>
      <c r="S131" s="44">
        <f t="shared" si="138"/>
        <v>370187.70163530222</v>
      </c>
      <c r="T131" s="35">
        <f t="shared" si="139"/>
        <v>411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977.83577722174164</v>
      </c>
      <c r="V131" s="57">
        <v>0</v>
      </c>
      <c r="W131" s="57">
        <v>6</v>
      </c>
      <c r="X131" s="61">
        <f t="shared" si="130"/>
        <v>405</v>
      </c>
      <c r="Y131" s="40">
        <f t="shared" si="140"/>
        <v>0</v>
      </c>
      <c r="Z131" s="40">
        <f t="shared" si="141"/>
        <v>-5867.0146633304503</v>
      </c>
      <c r="AA131" s="44">
        <f t="shared" si="142"/>
        <v>396023.48977480538</v>
      </c>
      <c r="AB131" s="35">
        <f t="shared" si="143"/>
        <v>405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1060.585314638337</v>
      </c>
      <c r="AD131" s="57">
        <v>0</v>
      </c>
      <c r="AE131" s="57">
        <v>0</v>
      </c>
      <c r="AF131" s="61">
        <f t="shared" si="131"/>
        <v>405</v>
      </c>
      <c r="AG131" s="40">
        <f t="shared" si="144"/>
        <v>0</v>
      </c>
      <c r="AH131" s="40">
        <f t="shared" si="145"/>
        <v>0</v>
      </c>
      <c r="AI131" s="44">
        <f t="shared" si="146"/>
        <v>429537.05242852645</v>
      </c>
      <c r="AJ131" s="35">
        <f t="shared" si="132"/>
        <v>405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1148.1853722766152</v>
      </c>
      <c r="AL131" s="57">
        <v>0</v>
      </c>
      <c r="AM131" s="57">
        <v>0</v>
      </c>
      <c r="AN131" s="61">
        <f t="shared" si="133"/>
        <v>405</v>
      </c>
      <c r="AO131" s="40">
        <f t="shared" si="147"/>
        <v>0</v>
      </c>
      <c r="AP131" s="40">
        <f t="shared" si="148"/>
        <v>0</v>
      </c>
      <c r="AQ131" s="44">
        <f t="shared" si="149"/>
        <v>465015.07577202917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77</v>
      </c>
      <c r="G132" s="35">
        <f>SUMIFS(WORKING!$AC$3:$AC$6802,WORKING!$A$3:$A$6802,Results!$D$3,WORKING!$B$3:$B$6802,Results!A132,WORKING!$C$3:$C$6802,Results!C132)/1000</f>
        <v>73728.600900000005</v>
      </c>
      <c r="H132" s="35">
        <f t="shared" si="134"/>
        <v>957.51429740259744</v>
      </c>
      <c r="I132" s="187">
        <v>12</v>
      </c>
      <c r="J132" s="212">
        <v>11496</v>
      </c>
      <c r="K132" s="217">
        <f t="shared" si="135"/>
        <v>958</v>
      </c>
      <c r="L132" s="34">
        <f t="shared" si="128"/>
        <v>12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1004.2078263258481</v>
      </c>
      <c r="N132" s="57">
        <v>0</v>
      </c>
      <c r="O132" s="57">
        <v>0</v>
      </c>
      <c r="P132" s="61">
        <f t="shared" si="129"/>
        <v>12</v>
      </c>
      <c r="Q132" s="40">
        <f t="shared" si="136"/>
        <v>0</v>
      </c>
      <c r="R132" s="40">
        <f t="shared" si="137"/>
        <v>0</v>
      </c>
      <c r="S132" s="44">
        <f t="shared" si="138"/>
        <v>12050.493915910178</v>
      </c>
      <c r="T132" s="35">
        <f t="shared" si="139"/>
        <v>12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1080.1578796998931</v>
      </c>
      <c r="V132" s="57">
        <v>0</v>
      </c>
      <c r="W132" s="57">
        <v>0</v>
      </c>
      <c r="X132" s="61">
        <f t="shared" si="130"/>
        <v>12</v>
      </c>
      <c r="Y132" s="40">
        <f t="shared" si="140"/>
        <v>0</v>
      </c>
      <c r="Z132" s="40">
        <f t="shared" si="141"/>
        <v>0</v>
      </c>
      <c r="AA132" s="44">
        <f t="shared" si="142"/>
        <v>12961.894556398718</v>
      </c>
      <c r="AB132" s="35">
        <f t="shared" si="143"/>
        <v>12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1160.7560859622383</v>
      </c>
      <c r="AD132" s="57">
        <v>0</v>
      </c>
      <c r="AE132" s="57">
        <v>0</v>
      </c>
      <c r="AF132" s="61">
        <f t="shared" si="131"/>
        <v>12</v>
      </c>
      <c r="AG132" s="40">
        <f t="shared" si="144"/>
        <v>0</v>
      </c>
      <c r="AH132" s="40">
        <f t="shared" si="145"/>
        <v>0</v>
      </c>
      <c r="AI132" s="44">
        <f t="shared" si="146"/>
        <v>13929.073031546861</v>
      </c>
      <c r="AJ132" s="35">
        <f t="shared" si="132"/>
        <v>12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1245.0125460022</v>
      </c>
      <c r="AL132" s="57">
        <v>0</v>
      </c>
      <c r="AM132" s="57">
        <v>0</v>
      </c>
      <c r="AN132" s="61">
        <f t="shared" si="133"/>
        <v>12</v>
      </c>
      <c r="AO132" s="40">
        <f t="shared" si="147"/>
        <v>0</v>
      </c>
      <c r="AP132" s="40">
        <f t="shared" si="148"/>
        <v>0</v>
      </c>
      <c r="AQ132" s="44">
        <f t="shared" si="149"/>
        <v>14940.1505520264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31</v>
      </c>
      <c r="G133" s="35">
        <f>SUMIFS(WORKING!$AC$3:$AC$6802,WORKING!$A$3:$A$6802,Results!$D$3,WORKING!$B$3:$B$6802,Results!A133,WORKING!$C$3:$C$6802,Results!C133)/1000</f>
        <v>35676.80575</v>
      </c>
      <c r="H133" s="35">
        <f t="shared" si="134"/>
        <v>1150.8647016129032</v>
      </c>
      <c r="I133" s="187">
        <v>5</v>
      </c>
      <c r="J133" s="212">
        <v>5755</v>
      </c>
      <c r="K133" s="217">
        <f t="shared" si="135"/>
        <v>1151</v>
      </c>
      <c r="L133" s="34">
        <f t="shared" si="128"/>
        <v>5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1206.3872497538218</v>
      </c>
      <c r="N133" s="57">
        <v>0</v>
      </c>
      <c r="O133" s="57">
        <v>0</v>
      </c>
      <c r="P133" s="61">
        <f t="shared" si="129"/>
        <v>5</v>
      </c>
      <c r="Q133" s="40">
        <f t="shared" si="136"/>
        <v>0</v>
      </c>
      <c r="R133" s="40">
        <f t="shared" si="137"/>
        <v>0</v>
      </c>
      <c r="S133" s="44">
        <f t="shared" si="138"/>
        <v>6031.9362487691087</v>
      </c>
      <c r="T133" s="35">
        <f t="shared" si="139"/>
        <v>5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1297.4890373964183</v>
      </c>
      <c r="V133" s="57">
        <v>0</v>
      </c>
      <c r="W133" s="57">
        <v>0</v>
      </c>
      <c r="X133" s="61">
        <f t="shared" si="130"/>
        <v>5</v>
      </c>
      <c r="Y133" s="40">
        <f t="shared" si="140"/>
        <v>0</v>
      </c>
      <c r="Z133" s="40">
        <f t="shared" si="141"/>
        <v>0</v>
      </c>
      <c r="AA133" s="44">
        <f t="shared" si="142"/>
        <v>6487.4451869820914</v>
      </c>
      <c r="AB133" s="35">
        <f t="shared" si="143"/>
        <v>5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1394.1540047785481</v>
      </c>
      <c r="AD133" s="57">
        <v>0</v>
      </c>
      <c r="AE133" s="57">
        <v>0</v>
      </c>
      <c r="AF133" s="61">
        <f t="shared" si="131"/>
        <v>5</v>
      </c>
      <c r="AG133" s="40">
        <f t="shared" si="144"/>
        <v>0</v>
      </c>
      <c r="AH133" s="40">
        <f t="shared" si="145"/>
        <v>0</v>
      </c>
      <c r="AI133" s="44">
        <f t="shared" si="146"/>
        <v>6970.7700238927409</v>
      </c>
      <c r="AJ133" s="35">
        <f t="shared" si="132"/>
        <v>5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1495.1915407073773</v>
      </c>
      <c r="AL133" s="57">
        <v>0</v>
      </c>
      <c r="AM133" s="57">
        <v>0</v>
      </c>
      <c r="AN133" s="61">
        <f t="shared" si="133"/>
        <v>5</v>
      </c>
      <c r="AO133" s="40">
        <f t="shared" si="147"/>
        <v>0</v>
      </c>
      <c r="AP133" s="40">
        <f t="shared" si="148"/>
        <v>0</v>
      </c>
      <c r="AQ133" s="44">
        <f t="shared" si="149"/>
        <v>7475.9577035368866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23</v>
      </c>
      <c r="G134" s="35">
        <f>SUMIFS(WORKING!$AC$3:$AC$6802,WORKING!$A$3:$A$6802,Results!$D$3,WORKING!$B$3:$B$6802,Results!A134,WORKING!$C$3:$C$6802,Results!C134)/1000</f>
        <v>32916.258369999996</v>
      </c>
      <c r="H134" s="35">
        <f t="shared" si="134"/>
        <v>1431.1416682608694</v>
      </c>
      <c r="I134" s="187">
        <v>3</v>
      </c>
      <c r="J134" s="212">
        <v>4293</v>
      </c>
      <c r="K134" s="217">
        <f t="shared" si="135"/>
        <v>1431</v>
      </c>
      <c r="L134" s="34">
        <f t="shared" si="128"/>
        <v>3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1500.0427665745206</v>
      </c>
      <c r="N134" s="57">
        <v>0</v>
      </c>
      <c r="O134" s="57">
        <v>0</v>
      </c>
      <c r="P134" s="61">
        <f t="shared" si="129"/>
        <v>3</v>
      </c>
      <c r="Q134" s="40">
        <f t="shared" si="136"/>
        <v>0</v>
      </c>
      <c r="R134" s="40">
        <f t="shared" si="137"/>
        <v>0</v>
      </c>
      <c r="S134" s="44">
        <f t="shared" si="138"/>
        <v>4500.1282997235612</v>
      </c>
      <c r="T134" s="35">
        <f t="shared" si="139"/>
        <v>3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1613.515687176897</v>
      </c>
      <c r="V134" s="57">
        <v>0</v>
      </c>
      <c r="W134" s="57">
        <v>1</v>
      </c>
      <c r="X134" s="61">
        <f t="shared" si="130"/>
        <v>2</v>
      </c>
      <c r="Y134" s="40">
        <f t="shared" si="140"/>
        <v>0</v>
      </c>
      <c r="Z134" s="40">
        <f t="shared" si="141"/>
        <v>-1613.515687176897</v>
      </c>
      <c r="AA134" s="44">
        <f t="shared" si="142"/>
        <v>3227.031374353794</v>
      </c>
      <c r="AB134" s="35">
        <f t="shared" si="143"/>
        <v>2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1733.9350997022575</v>
      </c>
      <c r="AD134" s="57">
        <v>0</v>
      </c>
      <c r="AE134" s="57">
        <v>0</v>
      </c>
      <c r="AF134" s="61">
        <f t="shared" si="131"/>
        <v>2</v>
      </c>
      <c r="AG134" s="40">
        <f t="shared" si="144"/>
        <v>0</v>
      </c>
      <c r="AH134" s="40">
        <f t="shared" si="145"/>
        <v>0</v>
      </c>
      <c r="AI134" s="44">
        <f t="shared" si="146"/>
        <v>3467.870199404515</v>
      </c>
      <c r="AJ134" s="35">
        <f t="shared" si="132"/>
        <v>2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1859.8225584685595</v>
      </c>
      <c r="AL134" s="57">
        <v>0</v>
      </c>
      <c r="AM134" s="57">
        <v>0</v>
      </c>
      <c r="AN134" s="61">
        <f t="shared" si="133"/>
        <v>2</v>
      </c>
      <c r="AO134" s="40">
        <f t="shared" si="147"/>
        <v>0</v>
      </c>
      <c r="AP134" s="40">
        <f t="shared" si="148"/>
        <v>0</v>
      </c>
      <c r="AQ134" s="44">
        <f t="shared" si="149"/>
        <v>3719.6451169371189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1</v>
      </c>
      <c r="G135" s="35">
        <f>SUMIFS(WORKING!$AC$3:$AC$6802,WORKING!$A$3:$A$6802,Results!$D$3,WORKING!$B$3:$B$6802,Results!A135,WORKING!$C$3:$C$6802,Results!C135)/1000</f>
        <v>1706.7637799999998</v>
      </c>
      <c r="H135" s="35">
        <f t="shared" si="134"/>
        <v>1706.7637799999998</v>
      </c>
      <c r="I135" s="187">
        <v>1</v>
      </c>
      <c r="J135" s="212">
        <v>1649</v>
      </c>
      <c r="K135" s="217">
        <f t="shared" si="135"/>
        <v>1649</v>
      </c>
      <c r="L135" s="34">
        <f t="shared" si="128"/>
        <v>1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1728.1066983391245</v>
      </c>
      <c r="N135" s="57">
        <v>0</v>
      </c>
      <c r="O135" s="57">
        <v>0</v>
      </c>
      <c r="P135" s="61">
        <f t="shared" si="129"/>
        <v>1</v>
      </c>
      <c r="Q135" s="40">
        <f t="shared" si="136"/>
        <v>0</v>
      </c>
      <c r="R135" s="40">
        <f t="shared" si="137"/>
        <v>0</v>
      </c>
      <c r="S135" s="44">
        <f t="shared" si="138"/>
        <v>1728.1066983391245</v>
      </c>
      <c r="T135" s="35">
        <f t="shared" si="139"/>
        <v>1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1858.3435098365362</v>
      </c>
      <c r="V135" s="57">
        <v>0</v>
      </c>
      <c r="W135" s="57">
        <v>0</v>
      </c>
      <c r="X135" s="61">
        <f t="shared" si="130"/>
        <v>1</v>
      </c>
      <c r="Y135" s="40">
        <f t="shared" si="140"/>
        <v>0</v>
      </c>
      <c r="Z135" s="40">
        <f t="shared" si="141"/>
        <v>0</v>
      </c>
      <c r="AA135" s="44">
        <f t="shared" si="142"/>
        <v>1858.3435098365362</v>
      </c>
      <c r="AB135" s="35">
        <f t="shared" si="143"/>
        <v>1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1996.5101929393722</v>
      </c>
      <c r="AD135" s="57">
        <v>0</v>
      </c>
      <c r="AE135" s="57">
        <v>0</v>
      </c>
      <c r="AF135" s="61">
        <f t="shared" si="131"/>
        <v>1</v>
      </c>
      <c r="AG135" s="40">
        <f t="shared" si="144"/>
        <v>0</v>
      </c>
      <c r="AH135" s="40">
        <f t="shared" si="145"/>
        <v>0</v>
      </c>
      <c r="AI135" s="44">
        <f t="shared" si="146"/>
        <v>1996.5101929393722</v>
      </c>
      <c r="AJ135" s="35">
        <f t="shared" si="132"/>
        <v>1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2140.8985868234004</v>
      </c>
      <c r="AL135" s="57">
        <v>0</v>
      </c>
      <c r="AM135" s="57">
        <v>0</v>
      </c>
      <c r="AN135" s="61">
        <f t="shared" si="133"/>
        <v>1</v>
      </c>
      <c r="AO135" s="40">
        <f t="shared" si="147"/>
        <v>0</v>
      </c>
      <c r="AP135" s="40">
        <f t="shared" si="148"/>
        <v>0</v>
      </c>
      <c r="AQ135" s="44">
        <f t="shared" si="149"/>
        <v>2140.8985868234004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755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>
        <v>10</v>
      </c>
      <c r="J136" s="212">
        <v>58</v>
      </c>
      <c r="K136" s="217">
        <f t="shared" si="135"/>
        <v>5.8</v>
      </c>
      <c r="L136" s="34">
        <f t="shared" si="128"/>
        <v>10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5.9913999999999996</v>
      </c>
      <c r="N136" s="57">
        <v>12</v>
      </c>
      <c r="O136" s="57">
        <v>0</v>
      </c>
      <c r="P136" s="61">
        <f t="shared" si="129"/>
        <v>22</v>
      </c>
      <c r="Q136" s="40">
        <f t="shared" si="136"/>
        <v>71.896799999999999</v>
      </c>
      <c r="R136" s="40">
        <f t="shared" si="137"/>
        <v>0</v>
      </c>
      <c r="S136" s="44">
        <f t="shared" si="138"/>
        <v>131.8108</v>
      </c>
      <c r="T136" s="35">
        <f t="shared" si="139"/>
        <v>22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6.3508839999999998</v>
      </c>
      <c r="V136" s="57">
        <v>0</v>
      </c>
      <c r="W136" s="57">
        <v>0</v>
      </c>
      <c r="X136" s="61">
        <f t="shared" si="130"/>
        <v>22</v>
      </c>
      <c r="Y136" s="40">
        <f t="shared" si="140"/>
        <v>0</v>
      </c>
      <c r="Z136" s="40">
        <f t="shared" si="141"/>
        <v>0</v>
      </c>
      <c r="AA136" s="44">
        <f t="shared" si="142"/>
        <v>139.719448</v>
      </c>
      <c r="AB136" s="35">
        <f t="shared" si="143"/>
        <v>22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6.7255861559999994</v>
      </c>
      <c r="AD136" s="57">
        <v>0</v>
      </c>
      <c r="AE136" s="57">
        <v>0</v>
      </c>
      <c r="AF136" s="61">
        <f t="shared" si="131"/>
        <v>22</v>
      </c>
      <c r="AG136" s="40">
        <f t="shared" si="144"/>
        <v>0</v>
      </c>
      <c r="AH136" s="40">
        <f t="shared" si="145"/>
        <v>0</v>
      </c>
      <c r="AI136" s="44">
        <f t="shared" si="146"/>
        <v>147.96289543199998</v>
      </c>
      <c r="AJ136" s="35">
        <f t="shared" si="132"/>
        <v>22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7.1089445668919993</v>
      </c>
      <c r="AL136" s="57">
        <v>0</v>
      </c>
      <c r="AM136" s="57">
        <v>0</v>
      </c>
      <c r="AN136" s="61">
        <f t="shared" si="133"/>
        <v>22</v>
      </c>
      <c r="AO136" s="40">
        <f t="shared" si="147"/>
        <v>0</v>
      </c>
      <c r="AP136" s="40">
        <f t="shared" si="148"/>
        <v>0</v>
      </c>
      <c r="AQ136" s="44">
        <f t="shared" si="149"/>
        <v>156.39678047162397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>
        <v>0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>
        <v>0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>
        <v>0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2178</v>
      </c>
      <c r="G140" s="41">
        <f>SUM(G120:G139)</f>
        <v>796845.45092000009</v>
      </c>
      <c r="H140" s="41">
        <f>IFERROR(G140/F140,0)</f>
        <v>365.86108857667591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2135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831255</v>
      </c>
      <c r="K140" s="41">
        <f>IFERROR(J140/I140,"")</f>
        <v>389.34660421545669</v>
      </c>
      <c r="L140" s="41">
        <f>SUM(L120:L139)</f>
        <v>2135</v>
      </c>
      <c r="M140" s="41">
        <f>IFERROR(S140/P140,0)</f>
        <v>427.72912196025356</v>
      </c>
      <c r="N140" s="41">
        <f t="shared" ref="N140:T140" si="151">SUM(N120:N139)</f>
        <v>133</v>
      </c>
      <c r="O140" s="41">
        <f t="shared" si="151"/>
        <v>106</v>
      </c>
      <c r="P140" s="41">
        <f t="shared" si="151"/>
        <v>2162</v>
      </c>
      <c r="Q140" s="41">
        <f t="shared" si="151"/>
        <v>59710.279938665888</v>
      </c>
      <c r="R140" s="41">
        <f t="shared" si="151"/>
        <v>-39816.411647615932</v>
      </c>
      <c r="S140" s="45">
        <f t="shared" si="151"/>
        <v>924750.36167806818</v>
      </c>
      <c r="T140" s="41">
        <f t="shared" si="151"/>
        <v>2162</v>
      </c>
      <c r="U140" s="41">
        <f>IFERROR(AA140/X140,0)</f>
        <v>466.08946504578955</v>
      </c>
      <c r="V140" s="41">
        <f t="shared" ref="V140:AB140" si="152">SUM(V120:V139)</f>
        <v>0</v>
      </c>
      <c r="W140" s="41">
        <f t="shared" si="152"/>
        <v>52</v>
      </c>
      <c r="X140" s="41">
        <f t="shared" si="152"/>
        <v>2110</v>
      </c>
      <c r="Y140" s="41">
        <f t="shared" si="152"/>
        <v>0</v>
      </c>
      <c r="Z140" s="41">
        <f t="shared" si="152"/>
        <v>-19894.896110887672</v>
      </c>
      <c r="AA140" s="45">
        <f t="shared" si="152"/>
        <v>983448.77124661591</v>
      </c>
      <c r="AB140" s="41">
        <f t="shared" si="152"/>
        <v>2110</v>
      </c>
      <c r="AC140" s="41">
        <f>IFERROR(AI140/AF140,0)</f>
        <v>512.42275536305488</v>
      </c>
      <c r="AD140" s="41">
        <f t="shared" ref="AD140:AJ140" si="153">SUM(AD120:AD139)</f>
        <v>0</v>
      </c>
      <c r="AE140" s="41">
        <f t="shared" si="153"/>
        <v>72</v>
      </c>
      <c r="AF140" s="41">
        <f t="shared" si="153"/>
        <v>2038</v>
      </c>
      <c r="AG140" s="41">
        <f t="shared" si="153"/>
        <v>0</v>
      </c>
      <c r="AH140" s="41">
        <f t="shared" si="153"/>
        <v>-21732.209601751696</v>
      </c>
      <c r="AI140" s="45">
        <f t="shared" si="153"/>
        <v>1044317.5754299058</v>
      </c>
      <c r="AJ140" s="41">
        <f t="shared" si="153"/>
        <v>2038</v>
      </c>
      <c r="AK140" s="41">
        <f>IFERROR(AQ140/AN140,0)</f>
        <v>554.42594116235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2038</v>
      </c>
      <c r="AO140" s="41">
        <f t="shared" si="154"/>
        <v>0</v>
      </c>
      <c r="AP140" s="41">
        <f t="shared" si="154"/>
        <v>0</v>
      </c>
      <c r="AQ140" s="45">
        <f t="shared" si="154"/>
        <v>1129920.0680888693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959950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1022029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1071488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1152921.088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35199.638321931823</v>
      </c>
      <c r="T142" s="39"/>
      <c r="U142" s="39"/>
      <c r="V142" s="53"/>
      <c r="W142" s="53"/>
      <c r="X142" s="110"/>
      <c r="Y142" s="39"/>
      <c r="Z142" s="39"/>
      <c r="AA142" s="54">
        <f>AA141-AA140</f>
        <v>38580.228753384086</v>
      </c>
      <c r="AB142" s="39"/>
      <c r="AC142" s="53"/>
      <c r="AD142" s="53"/>
      <c r="AE142" s="110"/>
      <c r="AF142" s="39"/>
      <c r="AG142" s="39"/>
      <c r="AH142" s="39"/>
      <c r="AI142" s="54">
        <f>AI141-AI140</f>
        <v>27170.424570094212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23001.019911130657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National Prosecuting Authority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15</v>
      </c>
      <c r="G148" s="35">
        <f>SUMIFS(WORKING!$AC$3:$AC$6802,WORKING!$A$3:$A$6802,Results!$D$3,WORKING!$B$3:$B$6802,Results!A148,WORKING!$C$3:$C$6802,Results!C148)/1000</f>
        <v>1708.4632600000002</v>
      </c>
      <c r="H148" s="35">
        <f>IFERROR(G148/F148,0)</f>
        <v>113.89755066666667</v>
      </c>
      <c r="I148" s="156">
        <v>15</v>
      </c>
      <c r="J148" s="211">
        <v>1708.4632600000002</v>
      </c>
      <c r="K148" s="217">
        <f>IFERROR(IF(J148="",G148,J148)/IF(I148="",F148,I148),"")</f>
        <v>113.89755066666667</v>
      </c>
      <c r="L148" s="34">
        <f t="shared" ref="L148:L167" si="155">IF(I148="",F148,I148)</f>
        <v>15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124.39171400057334</v>
      </c>
      <c r="N148" s="57">
        <v>0</v>
      </c>
      <c r="O148" s="57">
        <v>1</v>
      </c>
      <c r="P148" s="61">
        <f t="shared" ref="P148:P167" si="156">-O148+L148+N148</f>
        <v>14</v>
      </c>
      <c r="Q148" s="40">
        <f>M148*N148</f>
        <v>0</v>
      </c>
      <c r="R148" s="40">
        <f>-M148*O148</f>
        <v>-124.39171400057334</v>
      </c>
      <c r="S148" s="44">
        <f>M148*P148</f>
        <v>1741.4839960080269</v>
      </c>
      <c r="T148" s="35">
        <f>P148</f>
        <v>14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135.09523328839737</v>
      </c>
      <c r="V148" s="57">
        <v>0</v>
      </c>
      <c r="W148" s="57">
        <v>2</v>
      </c>
      <c r="X148" s="61">
        <f t="shared" ref="X148:X167" si="157">-W148+T148+V148</f>
        <v>12</v>
      </c>
      <c r="Y148" s="40">
        <f>U148*V148</f>
        <v>0</v>
      </c>
      <c r="Z148" s="40">
        <f>-U148*W148</f>
        <v>-270.19046657679473</v>
      </c>
      <c r="AA148" s="44">
        <f>U148*X148</f>
        <v>1621.1427994607684</v>
      </c>
      <c r="AB148" s="35">
        <f>X148</f>
        <v>12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146.58263578212495</v>
      </c>
      <c r="AD148" s="57">
        <v>0</v>
      </c>
      <c r="AE148" s="57">
        <v>4</v>
      </c>
      <c r="AF148" s="61">
        <f t="shared" ref="AF148:AF167" si="158">-AE148+AB148+AD148</f>
        <v>8</v>
      </c>
      <c r="AG148" s="40">
        <f>AC148*AD148</f>
        <v>0</v>
      </c>
      <c r="AH148" s="40">
        <f>-AC148*AE148</f>
        <v>-586.33054312849981</v>
      </c>
      <c r="AI148" s="44">
        <f>AC148*AF148</f>
        <v>1172.6610862569996</v>
      </c>
      <c r="AJ148" s="35">
        <f t="shared" ref="AJ148:AJ167" si="159">AF148</f>
        <v>8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158.7492718799501</v>
      </c>
      <c r="AL148" s="57">
        <v>2</v>
      </c>
      <c r="AM148" s="57">
        <v>2</v>
      </c>
      <c r="AN148" s="61">
        <f t="shared" ref="AN148:AN167" si="160">-AM148+AJ148+AL148</f>
        <v>8</v>
      </c>
      <c r="AO148" s="40">
        <f>AK148*AL148</f>
        <v>317.4985437599002</v>
      </c>
      <c r="AP148" s="40">
        <f>-AK148*AM148</f>
        <v>-317.4985437599002</v>
      </c>
      <c r="AQ148" s="44">
        <f>AK148*AN148</f>
        <v>1269.9941750396008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10</v>
      </c>
      <c r="G149" s="35">
        <f>SUMIFS(WORKING!$AC$3:$AC$6802,WORKING!$A$3:$A$6802,Results!$D$3,WORKING!$B$3:$B$6802,Results!A149,WORKING!$C$3:$C$6802,Results!C149)/1000</f>
        <v>1434.31034</v>
      </c>
      <c r="H149" s="35">
        <f t="shared" ref="H149:H167" si="161">IFERROR(G149/F149,0)</f>
        <v>143.43103400000001</v>
      </c>
      <c r="I149" s="187">
        <v>10</v>
      </c>
      <c r="J149" s="212">
        <v>1434.31034</v>
      </c>
      <c r="K149" s="217">
        <f t="shared" ref="K149:K167" si="162">IFERROR(IF(J149="",G149,J149)/IF(I149="",F149,I149),"")</f>
        <v>143.43103400000001</v>
      </c>
      <c r="L149" s="34">
        <f t="shared" si="155"/>
        <v>10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155.57363535602599</v>
      </c>
      <c r="N149" s="57">
        <v>1</v>
      </c>
      <c r="O149" s="57">
        <v>1</v>
      </c>
      <c r="P149" s="61">
        <f t="shared" si="156"/>
        <v>10</v>
      </c>
      <c r="Q149" s="40">
        <f t="shared" ref="Q149:Q167" si="163">M149*N149</f>
        <v>155.57363535602599</v>
      </c>
      <c r="R149" s="40">
        <f t="shared" ref="R149:R167" si="164">-M149*O149</f>
        <v>-155.57363535602599</v>
      </c>
      <c r="S149" s="44">
        <f t="shared" ref="S149:S167" si="165">M149*P149</f>
        <v>1555.7363535602599</v>
      </c>
      <c r="T149" s="35">
        <f t="shared" ref="T149:T167" si="166">P149</f>
        <v>10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168.62504716806603</v>
      </c>
      <c r="V149" s="57">
        <v>0</v>
      </c>
      <c r="W149" s="57">
        <v>0</v>
      </c>
      <c r="X149" s="61">
        <f t="shared" si="157"/>
        <v>10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1686.2504716806602</v>
      </c>
      <c r="AB149" s="35">
        <f t="shared" ref="AB149:AB167" si="170">X149</f>
        <v>10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182.60078923457795</v>
      </c>
      <c r="AD149" s="57">
        <v>1</v>
      </c>
      <c r="AE149" s="57">
        <v>2</v>
      </c>
      <c r="AF149" s="61">
        <f t="shared" si="158"/>
        <v>9</v>
      </c>
      <c r="AG149" s="40">
        <f t="shared" ref="AG149:AG167" si="171">AC149*AD149</f>
        <v>182.60078923457795</v>
      </c>
      <c r="AH149" s="40">
        <f t="shared" ref="AH149:AH167" si="172">-AC149*AE149</f>
        <v>-365.20157846915589</v>
      </c>
      <c r="AI149" s="44">
        <f t="shared" ref="AI149:AI167" si="173">AC149*AF149</f>
        <v>1643.4071031112014</v>
      </c>
      <c r="AJ149" s="35">
        <f t="shared" si="159"/>
        <v>9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197.36541087127333</v>
      </c>
      <c r="AL149" s="57">
        <v>1</v>
      </c>
      <c r="AM149" s="57">
        <v>3</v>
      </c>
      <c r="AN149" s="61">
        <f t="shared" si="160"/>
        <v>7</v>
      </c>
      <c r="AO149" s="40">
        <f t="shared" ref="AO149:AO167" si="174">AK149*AL149</f>
        <v>197.36541087127333</v>
      </c>
      <c r="AP149" s="40">
        <f t="shared" ref="AP149:AP167" si="175">-AK149*AM149</f>
        <v>-592.09623261382001</v>
      </c>
      <c r="AQ149" s="44">
        <f t="shared" ref="AQ149:AQ167" si="176">AK149*AN149</f>
        <v>1381.5578760989133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5</v>
      </c>
      <c r="G150" s="35">
        <f>SUMIFS(WORKING!$AC$3:$AC$6802,WORKING!$A$3:$A$6802,Results!$D$3,WORKING!$B$3:$B$6802,Results!A150,WORKING!$C$3:$C$6802,Results!C150)/1000</f>
        <v>763.31315000000006</v>
      </c>
      <c r="H150" s="35">
        <f t="shared" si="161"/>
        <v>152.66263000000001</v>
      </c>
      <c r="I150" s="187">
        <v>5</v>
      </c>
      <c r="J150" s="212">
        <v>763.31315000000006</v>
      </c>
      <c r="K150" s="217">
        <f t="shared" si="162"/>
        <v>152.66263000000001</v>
      </c>
      <c r="L150" s="34">
        <f t="shared" si="155"/>
        <v>5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165.5168298181523</v>
      </c>
      <c r="N150" s="57">
        <v>1</v>
      </c>
      <c r="O150" s="57">
        <v>0</v>
      </c>
      <c r="P150" s="61">
        <f t="shared" si="156"/>
        <v>6</v>
      </c>
      <c r="Q150" s="40">
        <f t="shared" si="163"/>
        <v>165.5168298181523</v>
      </c>
      <c r="R150" s="40">
        <f t="shared" si="164"/>
        <v>0</v>
      </c>
      <c r="S150" s="44">
        <f t="shared" si="165"/>
        <v>993.10097890891382</v>
      </c>
      <c r="T150" s="35">
        <f t="shared" si="166"/>
        <v>6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179.3845055920591</v>
      </c>
      <c r="V150" s="57">
        <v>0</v>
      </c>
      <c r="W150" s="57">
        <v>0</v>
      </c>
      <c r="X150" s="61">
        <f t="shared" si="157"/>
        <v>6</v>
      </c>
      <c r="Y150" s="40">
        <f t="shared" si="167"/>
        <v>0</v>
      </c>
      <c r="Z150" s="40">
        <f t="shared" si="168"/>
        <v>0</v>
      </c>
      <c r="AA150" s="44">
        <f t="shared" si="169"/>
        <v>1076.3070335523546</v>
      </c>
      <c r="AB150" s="35">
        <f t="shared" si="170"/>
        <v>6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194.23246404947832</v>
      </c>
      <c r="AD150" s="57">
        <v>0</v>
      </c>
      <c r="AE150" s="57">
        <v>1</v>
      </c>
      <c r="AF150" s="61">
        <f t="shared" si="158"/>
        <v>5</v>
      </c>
      <c r="AG150" s="40">
        <f t="shared" si="171"/>
        <v>0</v>
      </c>
      <c r="AH150" s="40">
        <f t="shared" si="172"/>
        <v>-194.23246404947832</v>
      </c>
      <c r="AI150" s="44">
        <f t="shared" si="173"/>
        <v>971.16232024739156</v>
      </c>
      <c r="AJ150" s="35">
        <f t="shared" si="159"/>
        <v>5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209.91613350840387</v>
      </c>
      <c r="AL150" s="57">
        <v>1</v>
      </c>
      <c r="AM150" s="57">
        <v>3</v>
      </c>
      <c r="AN150" s="61">
        <f t="shared" si="160"/>
        <v>3</v>
      </c>
      <c r="AO150" s="40">
        <f t="shared" si="174"/>
        <v>209.91613350840387</v>
      </c>
      <c r="AP150" s="40">
        <f t="shared" si="175"/>
        <v>-629.74840052521165</v>
      </c>
      <c r="AQ150" s="44">
        <f t="shared" si="176"/>
        <v>629.74840052521165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34</v>
      </c>
      <c r="G151" s="35">
        <f>SUMIFS(WORKING!$AC$3:$AC$6802,WORKING!$A$3:$A$6802,Results!$D$3,WORKING!$B$3:$B$6802,Results!A151,WORKING!$C$3:$C$6802,Results!C151)/1000</f>
        <v>5249.9345599999997</v>
      </c>
      <c r="H151" s="35">
        <f t="shared" si="161"/>
        <v>154.40984</v>
      </c>
      <c r="I151" s="187">
        <v>40</v>
      </c>
      <c r="J151" s="212">
        <v>5249.9345599999997</v>
      </c>
      <c r="K151" s="217">
        <f t="shared" si="162"/>
        <v>131.24836399999998</v>
      </c>
      <c r="L151" s="34">
        <f t="shared" si="155"/>
        <v>40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142.54649677863793</v>
      </c>
      <c r="N151" s="57">
        <v>1</v>
      </c>
      <c r="O151" s="57">
        <v>2</v>
      </c>
      <c r="P151" s="61">
        <f t="shared" si="156"/>
        <v>39</v>
      </c>
      <c r="Q151" s="40">
        <f t="shared" si="163"/>
        <v>142.54649677863793</v>
      </c>
      <c r="R151" s="40">
        <f t="shared" si="164"/>
        <v>-285.09299355727586</v>
      </c>
      <c r="S151" s="44">
        <f t="shared" si="165"/>
        <v>5559.3133743668795</v>
      </c>
      <c r="T151" s="35">
        <f t="shared" si="166"/>
        <v>39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154.56532695524945</v>
      </c>
      <c r="V151" s="57">
        <v>0</v>
      </c>
      <c r="W151" s="57">
        <v>2</v>
      </c>
      <c r="X151" s="61">
        <f t="shared" si="157"/>
        <v>37</v>
      </c>
      <c r="Y151" s="40">
        <f t="shared" si="167"/>
        <v>0</v>
      </c>
      <c r="Z151" s="40">
        <f t="shared" si="168"/>
        <v>-309.13065391049889</v>
      </c>
      <c r="AA151" s="44">
        <f t="shared" si="169"/>
        <v>5718.9170973442297</v>
      </c>
      <c r="AB151" s="35">
        <f t="shared" si="170"/>
        <v>37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167.44099377125687</v>
      </c>
      <c r="AD151" s="57">
        <v>0</v>
      </c>
      <c r="AE151" s="57">
        <v>1</v>
      </c>
      <c r="AF151" s="61">
        <f t="shared" si="158"/>
        <v>36</v>
      </c>
      <c r="AG151" s="40">
        <f t="shared" si="171"/>
        <v>0</v>
      </c>
      <c r="AH151" s="40">
        <f t="shared" si="172"/>
        <v>-167.44099377125687</v>
      </c>
      <c r="AI151" s="44">
        <f t="shared" si="173"/>
        <v>6027.8757757652475</v>
      </c>
      <c r="AJ151" s="35">
        <f t="shared" si="159"/>
        <v>36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181.05008992164136</v>
      </c>
      <c r="AL151" s="57">
        <v>12</v>
      </c>
      <c r="AM151" s="57">
        <v>10</v>
      </c>
      <c r="AN151" s="61">
        <f t="shared" si="160"/>
        <v>38</v>
      </c>
      <c r="AO151" s="40">
        <f t="shared" si="174"/>
        <v>2172.6010790596965</v>
      </c>
      <c r="AP151" s="40">
        <f t="shared" si="175"/>
        <v>-1810.5008992164135</v>
      </c>
      <c r="AQ151" s="44">
        <f t="shared" si="176"/>
        <v>6879.9034170223713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347</v>
      </c>
      <c r="G152" s="35">
        <f>SUMIFS(WORKING!$AC$3:$AC$6802,WORKING!$A$3:$A$6802,Results!$D$3,WORKING!$B$3:$B$6802,Results!A152,WORKING!$C$3:$C$6802,Results!C152)/1000</f>
        <v>87091.376000000004</v>
      </c>
      <c r="H152" s="35">
        <f t="shared" si="161"/>
        <v>250.98379250720461</v>
      </c>
      <c r="I152" s="187">
        <v>346</v>
      </c>
      <c r="J152" s="212">
        <v>87091.376000000004</v>
      </c>
      <c r="K152" s="217">
        <f t="shared" si="162"/>
        <v>251.70917919075146</v>
      </c>
      <c r="L152" s="34">
        <f t="shared" si="155"/>
        <v>346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274.0594072610499</v>
      </c>
      <c r="N152" s="57">
        <v>1</v>
      </c>
      <c r="O152" s="57">
        <v>18</v>
      </c>
      <c r="P152" s="61">
        <f t="shared" si="156"/>
        <v>329</v>
      </c>
      <c r="Q152" s="40">
        <f t="shared" si="163"/>
        <v>274.0594072610499</v>
      </c>
      <c r="R152" s="40">
        <f t="shared" si="164"/>
        <v>-4933.0693306988978</v>
      </c>
      <c r="S152" s="44">
        <f t="shared" si="165"/>
        <v>90165.54498888542</v>
      </c>
      <c r="T152" s="35">
        <f t="shared" si="166"/>
        <v>329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297.37987861551278</v>
      </c>
      <c r="V152" s="57">
        <v>0</v>
      </c>
      <c r="W152" s="57">
        <v>17</v>
      </c>
      <c r="X152" s="61">
        <f t="shared" si="157"/>
        <v>312</v>
      </c>
      <c r="Y152" s="40">
        <f t="shared" si="167"/>
        <v>0</v>
      </c>
      <c r="Z152" s="40">
        <f t="shared" si="168"/>
        <v>-5055.4579364637175</v>
      </c>
      <c r="AA152" s="44">
        <f t="shared" si="169"/>
        <v>92782.522128039986</v>
      </c>
      <c r="AB152" s="35">
        <f t="shared" si="170"/>
        <v>312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322.383280188789</v>
      </c>
      <c r="AD152" s="57">
        <v>1</v>
      </c>
      <c r="AE152" s="57">
        <v>17</v>
      </c>
      <c r="AF152" s="61">
        <f t="shared" si="158"/>
        <v>296</v>
      </c>
      <c r="AG152" s="40">
        <f t="shared" si="171"/>
        <v>322.383280188789</v>
      </c>
      <c r="AH152" s="40">
        <f t="shared" si="172"/>
        <v>-5480.5157632094133</v>
      </c>
      <c r="AI152" s="44">
        <f t="shared" si="173"/>
        <v>95425.450935881541</v>
      </c>
      <c r="AJ152" s="35">
        <f t="shared" si="159"/>
        <v>296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348.83530145142981</v>
      </c>
      <c r="AL152" s="57">
        <v>12</v>
      </c>
      <c r="AM152" s="57">
        <v>13</v>
      </c>
      <c r="AN152" s="61">
        <f t="shared" si="160"/>
        <v>295</v>
      </c>
      <c r="AO152" s="40">
        <f t="shared" si="174"/>
        <v>4186.0236174171578</v>
      </c>
      <c r="AP152" s="40">
        <f t="shared" si="175"/>
        <v>-4534.8589188685874</v>
      </c>
      <c r="AQ152" s="44">
        <f t="shared" si="176"/>
        <v>102906.41392817179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107</v>
      </c>
      <c r="G153" s="35">
        <f>SUMIFS(WORKING!$AC$3:$AC$6802,WORKING!$A$3:$A$6802,Results!$D$3,WORKING!$B$3:$B$6802,Results!A153,WORKING!$C$3:$C$6802,Results!C153)/1000</f>
        <v>31794.183930000003</v>
      </c>
      <c r="H153" s="35">
        <f t="shared" si="161"/>
        <v>297.1419058878505</v>
      </c>
      <c r="I153" s="187">
        <v>103</v>
      </c>
      <c r="J153" s="212">
        <v>31794.183930000003</v>
      </c>
      <c r="K153" s="217">
        <f t="shared" si="162"/>
        <v>308.68139737864078</v>
      </c>
      <c r="L153" s="34">
        <f t="shared" si="155"/>
        <v>103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335.85084508809467</v>
      </c>
      <c r="N153" s="57">
        <v>0</v>
      </c>
      <c r="O153" s="57">
        <v>5</v>
      </c>
      <c r="P153" s="61">
        <f t="shared" si="156"/>
        <v>98</v>
      </c>
      <c r="Q153" s="40">
        <f t="shared" si="163"/>
        <v>0</v>
      </c>
      <c r="R153" s="40">
        <f t="shared" si="164"/>
        <v>-1679.2542254404734</v>
      </c>
      <c r="S153" s="44">
        <f t="shared" si="165"/>
        <v>32913.382818633276</v>
      </c>
      <c r="T153" s="35">
        <f t="shared" si="166"/>
        <v>98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364.35516251318961</v>
      </c>
      <c r="V153" s="57">
        <v>0</v>
      </c>
      <c r="W153" s="57">
        <v>6</v>
      </c>
      <c r="X153" s="61">
        <f t="shared" si="157"/>
        <v>92</v>
      </c>
      <c r="Y153" s="40">
        <f t="shared" si="167"/>
        <v>0</v>
      </c>
      <c r="Z153" s="40">
        <f t="shared" si="168"/>
        <v>-2186.1309750791379</v>
      </c>
      <c r="AA153" s="44">
        <f t="shared" si="169"/>
        <v>33520.674951213441</v>
      </c>
      <c r="AB153" s="35">
        <f t="shared" si="170"/>
        <v>92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394.90941776669075</v>
      </c>
      <c r="AD153" s="57">
        <v>2</v>
      </c>
      <c r="AE153" s="57">
        <v>7</v>
      </c>
      <c r="AF153" s="61">
        <f t="shared" si="158"/>
        <v>87</v>
      </c>
      <c r="AG153" s="40">
        <f t="shared" si="171"/>
        <v>789.8188355333815</v>
      </c>
      <c r="AH153" s="40">
        <f t="shared" si="172"/>
        <v>-2764.3659243668353</v>
      </c>
      <c r="AI153" s="44">
        <f t="shared" si="173"/>
        <v>34357.119345702093</v>
      </c>
      <c r="AJ153" s="35">
        <f t="shared" si="159"/>
        <v>87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427.22541223937003</v>
      </c>
      <c r="AL153" s="57">
        <v>17</v>
      </c>
      <c r="AM153" s="57">
        <v>4</v>
      </c>
      <c r="AN153" s="61">
        <f t="shared" si="160"/>
        <v>100</v>
      </c>
      <c r="AO153" s="40">
        <f t="shared" si="174"/>
        <v>7262.8320080692902</v>
      </c>
      <c r="AP153" s="40">
        <f t="shared" si="175"/>
        <v>-1708.9016489574801</v>
      </c>
      <c r="AQ153" s="44">
        <f t="shared" si="176"/>
        <v>42722.541223937005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1216</v>
      </c>
      <c r="G154" s="35">
        <f>SUMIFS(WORKING!$AC$3:$AC$6802,WORKING!$A$3:$A$6802,Results!$D$3,WORKING!$B$3:$B$6802,Results!A154,WORKING!$C$3:$C$6802,Results!C154)/1000</f>
        <v>327831.83619999996</v>
      </c>
      <c r="H154" s="35">
        <f t="shared" si="161"/>
        <v>269.59854950657893</v>
      </c>
      <c r="I154" s="187">
        <v>1174</v>
      </c>
      <c r="J154" s="212">
        <v>327831.83619999996</v>
      </c>
      <c r="K154" s="217">
        <f t="shared" si="162"/>
        <v>279.24347206132876</v>
      </c>
      <c r="L154" s="34">
        <f t="shared" si="155"/>
        <v>1174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304.23992432369903</v>
      </c>
      <c r="N154" s="57">
        <v>0</v>
      </c>
      <c r="O154" s="57">
        <v>98</v>
      </c>
      <c r="P154" s="61">
        <f t="shared" si="156"/>
        <v>1076</v>
      </c>
      <c r="Q154" s="40">
        <f t="shared" si="163"/>
        <v>0</v>
      </c>
      <c r="R154" s="40">
        <f t="shared" si="164"/>
        <v>-29815.512583722506</v>
      </c>
      <c r="S154" s="44">
        <f t="shared" si="165"/>
        <v>327362.15857230016</v>
      </c>
      <c r="T154" s="35">
        <f t="shared" si="166"/>
        <v>1076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330.19179071875544</v>
      </c>
      <c r="V154" s="57">
        <v>0</v>
      </c>
      <c r="W154" s="57">
        <v>59</v>
      </c>
      <c r="X154" s="61">
        <f t="shared" si="157"/>
        <v>1017</v>
      </c>
      <c r="Y154" s="40">
        <f t="shared" si="167"/>
        <v>0</v>
      </c>
      <c r="Z154" s="40">
        <f t="shared" si="168"/>
        <v>-19481.315652406571</v>
      </c>
      <c r="AA154" s="44">
        <f t="shared" si="169"/>
        <v>335805.05116097431</v>
      </c>
      <c r="AB154" s="35">
        <f t="shared" si="170"/>
        <v>1017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358.02253762853508</v>
      </c>
      <c r="AD154" s="57">
        <v>2</v>
      </c>
      <c r="AE154" s="57">
        <v>57</v>
      </c>
      <c r="AF154" s="61">
        <f t="shared" si="158"/>
        <v>962</v>
      </c>
      <c r="AG154" s="40">
        <f t="shared" si="171"/>
        <v>716.04507525707015</v>
      </c>
      <c r="AH154" s="40">
        <f t="shared" si="172"/>
        <v>-20407.284644826501</v>
      </c>
      <c r="AI154" s="44">
        <f t="shared" si="173"/>
        <v>344417.68119865074</v>
      </c>
      <c r="AJ154" s="35">
        <f t="shared" si="159"/>
        <v>962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387.47293871463552</v>
      </c>
      <c r="AL154" s="57">
        <v>15</v>
      </c>
      <c r="AM154" s="57">
        <v>34</v>
      </c>
      <c r="AN154" s="61">
        <f t="shared" si="160"/>
        <v>943</v>
      </c>
      <c r="AO154" s="40">
        <f t="shared" si="174"/>
        <v>5812.0940807195329</v>
      </c>
      <c r="AP154" s="40">
        <f t="shared" si="175"/>
        <v>-13174.079916297607</v>
      </c>
      <c r="AQ154" s="44">
        <f t="shared" si="176"/>
        <v>365386.98120790132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179</v>
      </c>
      <c r="G155" s="35">
        <f>SUMIFS(WORKING!$AC$3:$AC$6802,WORKING!$A$3:$A$6802,Results!$D$3,WORKING!$B$3:$B$6802,Results!A155,WORKING!$C$3:$C$6802,Results!C155)/1000</f>
        <v>50787.90189999999</v>
      </c>
      <c r="H155" s="35">
        <f t="shared" si="161"/>
        <v>283.73129553072619</v>
      </c>
      <c r="I155" s="187">
        <v>180</v>
      </c>
      <c r="J155" s="212">
        <v>50787.90189999999</v>
      </c>
      <c r="K155" s="217">
        <f t="shared" si="162"/>
        <v>282.15501055555552</v>
      </c>
      <c r="L155" s="34">
        <f t="shared" si="155"/>
        <v>180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307.31471020352359</v>
      </c>
      <c r="N155" s="57">
        <v>4</v>
      </c>
      <c r="O155" s="57">
        <v>11</v>
      </c>
      <c r="P155" s="61">
        <f t="shared" si="156"/>
        <v>173</v>
      </c>
      <c r="Q155" s="40">
        <f t="shared" si="163"/>
        <v>1229.2588408140944</v>
      </c>
      <c r="R155" s="40">
        <f t="shared" si="164"/>
        <v>-3380.4618122387596</v>
      </c>
      <c r="S155" s="44">
        <f t="shared" si="165"/>
        <v>53165.444865209582</v>
      </c>
      <c r="T155" s="35">
        <f t="shared" si="166"/>
        <v>173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333.49873054829152</v>
      </c>
      <c r="V155" s="57">
        <v>3</v>
      </c>
      <c r="W155" s="57">
        <v>11</v>
      </c>
      <c r="X155" s="61">
        <f t="shared" si="157"/>
        <v>165</v>
      </c>
      <c r="Y155" s="40">
        <f t="shared" si="167"/>
        <v>1000.4961916448746</v>
      </c>
      <c r="Z155" s="40">
        <f t="shared" si="168"/>
        <v>-3668.4860360312068</v>
      </c>
      <c r="AA155" s="44">
        <f t="shared" si="169"/>
        <v>55027.290540468101</v>
      </c>
      <c r="AB155" s="35">
        <f t="shared" si="170"/>
        <v>165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361.57554662388128</v>
      </c>
      <c r="AD155" s="57">
        <v>3</v>
      </c>
      <c r="AE155" s="57">
        <v>13</v>
      </c>
      <c r="AF155" s="61">
        <f t="shared" si="158"/>
        <v>155</v>
      </c>
      <c r="AG155" s="40">
        <f t="shared" si="171"/>
        <v>1084.7266398716438</v>
      </c>
      <c r="AH155" s="40">
        <f t="shared" si="172"/>
        <v>-4700.4821061104567</v>
      </c>
      <c r="AI155" s="44">
        <f t="shared" si="173"/>
        <v>56044.2097267016</v>
      </c>
      <c r="AJ155" s="35">
        <f t="shared" si="159"/>
        <v>155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391.282872437224</v>
      </c>
      <c r="AL155" s="57">
        <v>20</v>
      </c>
      <c r="AM155" s="57">
        <v>4</v>
      </c>
      <c r="AN155" s="61">
        <f t="shared" si="160"/>
        <v>171</v>
      </c>
      <c r="AO155" s="40">
        <f t="shared" si="174"/>
        <v>7825.6574487444796</v>
      </c>
      <c r="AP155" s="40">
        <f t="shared" si="175"/>
        <v>-1565.131489748896</v>
      </c>
      <c r="AQ155" s="44">
        <f t="shared" si="176"/>
        <v>66909.371186765304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604</v>
      </c>
      <c r="G156" s="35">
        <f>SUMIFS(WORKING!$AC$3:$AC$6802,WORKING!$A$3:$A$6802,Results!$D$3,WORKING!$B$3:$B$6802,Results!A156,WORKING!$C$3:$C$6802,Results!C156)/1000</f>
        <v>273749.73110999999</v>
      </c>
      <c r="H156" s="35">
        <f t="shared" si="161"/>
        <v>453.22803163907281</v>
      </c>
      <c r="I156" s="187">
        <v>602</v>
      </c>
      <c r="J156" s="212">
        <v>273749.73110999999</v>
      </c>
      <c r="K156" s="217">
        <f t="shared" si="162"/>
        <v>454.73377260797344</v>
      </c>
      <c r="L156" s="34">
        <f t="shared" si="155"/>
        <v>602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495.74158089308685</v>
      </c>
      <c r="N156" s="57">
        <v>30</v>
      </c>
      <c r="O156" s="57">
        <v>32</v>
      </c>
      <c r="P156" s="61">
        <f t="shared" si="156"/>
        <v>600</v>
      </c>
      <c r="Q156" s="40">
        <f t="shared" si="163"/>
        <v>14872.247426792605</v>
      </c>
      <c r="R156" s="40">
        <f t="shared" si="164"/>
        <v>-15863.730588578779</v>
      </c>
      <c r="S156" s="44">
        <f t="shared" si="165"/>
        <v>297444.94853585213</v>
      </c>
      <c r="T156" s="35">
        <f t="shared" si="166"/>
        <v>600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538.12171139997224</v>
      </c>
      <c r="V156" s="57">
        <v>3</v>
      </c>
      <c r="W156" s="57">
        <v>33</v>
      </c>
      <c r="X156" s="61">
        <f t="shared" si="157"/>
        <v>570</v>
      </c>
      <c r="Y156" s="40">
        <f t="shared" si="167"/>
        <v>1614.3651341999166</v>
      </c>
      <c r="Z156" s="40">
        <f t="shared" si="168"/>
        <v>-17758.016476199085</v>
      </c>
      <c r="AA156" s="44">
        <f t="shared" si="169"/>
        <v>306729.37549798418</v>
      </c>
      <c r="AB156" s="35">
        <f t="shared" si="170"/>
        <v>570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583.57910356881791</v>
      </c>
      <c r="AD156" s="57">
        <v>3</v>
      </c>
      <c r="AE156" s="57">
        <v>31</v>
      </c>
      <c r="AF156" s="61">
        <f t="shared" si="158"/>
        <v>542</v>
      </c>
      <c r="AG156" s="40">
        <f t="shared" si="171"/>
        <v>1750.7373107064536</v>
      </c>
      <c r="AH156" s="40">
        <f t="shared" si="172"/>
        <v>-18090.952210633357</v>
      </c>
      <c r="AI156" s="44">
        <f t="shared" si="173"/>
        <v>316299.87413429929</v>
      </c>
      <c r="AJ156" s="35">
        <f t="shared" si="159"/>
        <v>542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631.69277729574208</v>
      </c>
      <c r="AL156" s="57">
        <v>21</v>
      </c>
      <c r="AM156" s="57">
        <v>22</v>
      </c>
      <c r="AN156" s="61">
        <f t="shared" si="160"/>
        <v>541</v>
      </c>
      <c r="AO156" s="40">
        <f t="shared" si="174"/>
        <v>13265.548323210583</v>
      </c>
      <c r="AP156" s="40">
        <f t="shared" si="175"/>
        <v>-13897.241100506326</v>
      </c>
      <c r="AQ156" s="44">
        <f t="shared" si="176"/>
        <v>341745.79251699644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510</v>
      </c>
      <c r="G157" s="35">
        <f>SUMIFS(WORKING!$AC$3:$AC$6802,WORKING!$A$3:$A$6802,Results!$D$3,WORKING!$B$3:$B$6802,Results!A157,WORKING!$C$3:$C$6802,Results!C157)/1000</f>
        <v>262816.66807999997</v>
      </c>
      <c r="H157" s="35">
        <f t="shared" si="161"/>
        <v>515.32680015686265</v>
      </c>
      <c r="I157" s="187">
        <v>505</v>
      </c>
      <c r="J157" s="212">
        <v>262816.66807999997</v>
      </c>
      <c r="K157" s="217">
        <f t="shared" si="162"/>
        <v>520.42904570297026</v>
      </c>
      <c r="L157" s="34">
        <f t="shared" si="155"/>
        <v>505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567.46946277304323</v>
      </c>
      <c r="N157" s="57">
        <v>42</v>
      </c>
      <c r="O157" s="57">
        <v>27</v>
      </c>
      <c r="P157" s="61">
        <f t="shared" si="156"/>
        <v>520</v>
      </c>
      <c r="Q157" s="40">
        <f t="shared" si="163"/>
        <v>23833.717436467814</v>
      </c>
      <c r="R157" s="40">
        <f t="shared" si="164"/>
        <v>-15321.675494872168</v>
      </c>
      <c r="S157" s="44">
        <f t="shared" si="165"/>
        <v>295084.12064198247</v>
      </c>
      <c r="T157" s="35">
        <f t="shared" si="166"/>
        <v>520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616.01530943725993</v>
      </c>
      <c r="V157" s="57">
        <v>4</v>
      </c>
      <c r="W157" s="57">
        <v>28</v>
      </c>
      <c r="X157" s="61">
        <f t="shared" si="157"/>
        <v>496</v>
      </c>
      <c r="Y157" s="40">
        <f t="shared" si="167"/>
        <v>2464.0612377490397</v>
      </c>
      <c r="Z157" s="40">
        <f t="shared" si="168"/>
        <v>-17248.428664243278</v>
      </c>
      <c r="AA157" s="44">
        <f t="shared" si="169"/>
        <v>305543.59348088095</v>
      </c>
      <c r="AB157" s="35">
        <f t="shared" si="170"/>
        <v>496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668.08935240774235</v>
      </c>
      <c r="AD157" s="57">
        <v>7</v>
      </c>
      <c r="AE157" s="57">
        <v>26</v>
      </c>
      <c r="AF157" s="61">
        <f t="shared" si="158"/>
        <v>477</v>
      </c>
      <c r="AG157" s="40">
        <f t="shared" si="171"/>
        <v>4676.6254668541969</v>
      </c>
      <c r="AH157" s="40">
        <f t="shared" si="172"/>
        <v>-17370.3231626013</v>
      </c>
      <c r="AI157" s="44">
        <f t="shared" si="173"/>
        <v>318678.62109849311</v>
      </c>
      <c r="AJ157" s="35">
        <f t="shared" si="159"/>
        <v>477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723.21017026804691</v>
      </c>
      <c r="AL157" s="57">
        <v>40</v>
      </c>
      <c r="AM157" s="57">
        <v>22</v>
      </c>
      <c r="AN157" s="61">
        <f t="shared" si="160"/>
        <v>495</v>
      </c>
      <c r="AO157" s="40">
        <f t="shared" si="174"/>
        <v>28928.406810721877</v>
      </c>
      <c r="AP157" s="40">
        <f t="shared" si="175"/>
        <v>-15910.623745897032</v>
      </c>
      <c r="AQ157" s="44">
        <f t="shared" si="176"/>
        <v>357989.03428268322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338</v>
      </c>
      <c r="G158" s="35">
        <f>SUMIFS(WORKING!$AC$3:$AC$6802,WORKING!$A$3:$A$6802,Results!$D$3,WORKING!$B$3:$B$6802,Results!A158,WORKING!$C$3:$C$6802,Results!C158)/1000</f>
        <v>234077.04037999999</v>
      </c>
      <c r="H158" s="35">
        <f t="shared" si="161"/>
        <v>692.5356224260355</v>
      </c>
      <c r="I158" s="187">
        <v>79</v>
      </c>
      <c r="J158" s="212">
        <v>234077.04037999999</v>
      </c>
      <c r="K158" s="217">
        <f t="shared" si="162"/>
        <v>2963.0005111392402</v>
      </c>
      <c r="L158" s="34">
        <f t="shared" si="155"/>
        <v>79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3234.7587135398176</v>
      </c>
      <c r="N158" s="57">
        <v>8</v>
      </c>
      <c r="O158" s="57">
        <v>4</v>
      </c>
      <c r="P158" s="61">
        <f t="shared" si="156"/>
        <v>83</v>
      </c>
      <c r="Q158" s="40">
        <f t="shared" si="163"/>
        <v>25878.069708318541</v>
      </c>
      <c r="R158" s="40">
        <f t="shared" si="164"/>
        <v>-12939.03485415927</v>
      </c>
      <c r="S158" s="44">
        <f t="shared" si="165"/>
        <v>268484.97322380485</v>
      </c>
      <c r="T158" s="35">
        <f t="shared" si="166"/>
        <v>83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3511.7497709817344</v>
      </c>
      <c r="V158" s="57">
        <v>3</v>
      </c>
      <c r="W158" s="57">
        <v>6</v>
      </c>
      <c r="X158" s="61">
        <f t="shared" si="157"/>
        <v>80</v>
      </c>
      <c r="Y158" s="40">
        <f t="shared" si="167"/>
        <v>10535.249312945203</v>
      </c>
      <c r="Z158" s="40">
        <f t="shared" si="168"/>
        <v>-21070.498625890406</v>
      </c>
      <c r="AA158" s="44">
        <f t="shared" si="169"/>
        <v>280939.98167853872</v>
      </c>
      <c r="AB158" s="35">
        <f t="shared" si="170"/>
        <v>80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3808.8964124593549</v>
      </c>
      <c r="AD158" s="57">
        <v>3</v>
      </c>
      <c r="AE158" s="57">
        <v>4</v>
      </c>
      <c r="AF158" s="61">
        <f t="shared" si="158"/>
        <v>79</v>
      </c>
      <c r="AG158" s="40">
        <f t="shared" si="171"/>
        <v>11426.689237378065</v>
      </c>
      <c r="AH158" s="40">
        <f t="shared" si="172"/>
        <v>-15235.58564983742</v>
      </c>
      <c r="AI158" s="44">
        <f t="shared" si="173"/>
        <v>300902.81658428902</v>
      </c>
      <c r="AJ158" s="35">
        <f t="shared" si="159"/>
        <v>79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4123.4570448465256</v>
      </c>
      <c r="AL158" s="57">
        <v>10</v>
      </c>
      <c r="AM158" s="57">
        <v>4</v>
      </c>
      <c r="AN158" s="61">
        <f t="shared" si="160"/>
        <v>85</v>
      </c>
      <c r="AO158" s="40">
        <f t="shared" si="174"/>
        <v>41234.570448465252</v>
      </c>
      <c r="AP158" s="40">
        <f t="shared" si="175"/>
        <v>-16493.828179386102</v>
      </c>
      <c r="AQ158" s="44">
        <f t="shared" si="176"/>
        <v>350493.84881195467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853</v>
      </c>
      <c r="G159" s="35">
        <f>SUMIFS(WORKING!$AC$3:$AC$6802,WORKING!$A$3:$A$6802,Results!$D$3,WORKING!$B$3:$B$6802,Results!A159,WORKING!$C$3:$C$6802,Results!C159)/1000</f>
        <v>641954.55665999989</v>
      </c>
      <c r="H159" s="35">
        <f t="shared" si="161"/>
        <v>752.58447439624842</v>
      </c>
      <c r="I159" s="187">
        <v>1719</v>
      </c>
      <c r="J159" s="212">
        <v>654450</v>
      </c>
      <c r="K159" s="217">
        <f t="shared" si="162"/>
        <v>380.71553228621292</v>
      </c>
      <c r="L159" s="34">
        <f t="shared" si="155"/>
        <v>1719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415.6769238707264</v>
      </c>
      <c r="N159" s="57">
        <v>15</v>
      </c>
      <c r="O159" s="57">
        <v>97</v>
      </c>
      <c r="P159" s="61">
        <f t="shared" si="156"/>
        <v>1637</v>
      </c>
      <c r="Q159" s="40">
        <f t="shared" si="163"/>
        <v>6235.1538580608958</v>
      </c>
      <c r="R159" s="40">
        <f t="shared" si="164"/>
        <v>-40320.661615460464</v>
      </c>
      <c r="S159" s="44">
        <f t="shared" si="165"/>
        <v>680463.12437637907</v>
      </c>
      <c r="T159" s="35">
        <f t="shared" si="166"/>
        <v>1637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451.31809050010025</v>
      </c>
      <c r="V159" s="57">
        <v>4</v>
      </c>
      <c r="W159" s="57">
        <v>87</v>
      </c>
      <c r="X159" s="61">
        <f t="shared" si="157"/>
        <v>1554</v>
      </c>
      <c r="Y159" s="40">
        <f t="shared" si="167"/>
        <v>1805.272362000401</v>
      </c>
      <c r="Z159" s="40">
        <f t="shared" si="168"/>
        <v>-39264.67387350872</v>
      </c>
      <c r="AA159" s="44">
        <f t="shared" si="169"/>
        <v>701348.31263715576</v>
      </c>
      <c r="AB159" s="35">
        <f t="shared" si="170"/>
        <v>1554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489.5572606805066</v>
      </c>
      <c r="AD159" s="57">
        <v>8</v>
      </c>
      <c r="AE159" s="57">
        <v>97</v>
      </c>
      <c r="AF159" s="61">
        <f t="shared" si="158"/>
        <v>1465</v>
      </c>
      <c r="AG159" s="40">
        <f t="shared" si="171"/>
        <v>3916.4580854440528</v>
      </c>
      <c r="AH159" s="40">
        <f t="shared" si="172"/>
        <v>-47487.054286009137</v>
      </c>
      <c r="AI159" s="44">
        <f t="shared" si="173"/>
        <v>717201.38689694216</v>
      </c>
      <c r="AJ159" s="35">
        <f t="shared" si="159"/>
        <v>1465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530.04283020566584</v>
      </c>
      <c r="AL159" s="57">
        <v>40</v>
      </c>
      <c r="AM159" s="57">
        <v>45</v>
      </c>
      <c r="AN159" s="61">
        <f t="shared" si="160"/>
        <v>1460</v>
      </c>
      <c r="AO159" s="40">
        <f t="shared" si="174"/>
        <v>21201.713208226633</v>
      </c>
      <c r="AP159" s="40">
        <f t="shared" si="175"/>
        <v>-23851.927359254962</v>
      </c>
      <c r="AQ159" s="44">
        <f t="shared" si="176"/>
        <v>773862.53210027213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419</v>
      </c>
      <c r="G160" s="35">
        <f>SUMIFS(WORKING!$AC$3:$AC$6802,WORKING!$A$3:$A$6802,Results!$D$3,WORKING!$B$3:$B$6802,Results!A160,WORKING!$C$3:$C$6802,Results!C160)/1000</f>
        <v>418427.07517999993</v>
      </c>
      <c r="H160" s="35">
        <f t="shared" si="161"/>
        <v>998.63263766109765</v>
      </c>
      <c r="I160" s="187">
        <v>83</v>
      </c>
      <c r="J160" s="212">
        <v>418427.07517999993</v>
      </c>
      <c r="K160" s="217">
        <f t="shared" si="162"/>
        <v>5041.2900624096374</v>
      </c>
      <c r="L160" s="34">
        <f t="shared" si="155"/>
        <v>83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5284.5433407557339</v>
      </c>
      <c r="N160" s="57">
        <v>0</v>
      </c>
      <c r="O160" s="57">
        <v>4</v>
      </c>
      <c r="P160" s="61">
        <f t="shared" si="156"/>
        <v>79</v>
      </c>
      <c r="Q160" s="40">
        <f t="shared" si="163"/>
        <v>0</v>
      </c>
      <c r="R160" s="40">
        <f t="shared" si="164"/>
        <v>-21138.173363022936</v>
      </c>
      <c r="S160" s="44">
        <f t="shared" si="165"/>
        <v>417478.923919703</v>
      </c>
      <c r="T160" s="35">
        <f t="shared" si="166"/>
        <v>79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5684.3234941615528</v>
      </c>
      <c r="V160" s="57">
        <v>0</v>
      </c>
      <c r="W160" s="57">
        <v>4</v>
      </c>
      <c r="X160" s="61">
        <f t="shared" si="157"/>
        <v>75</v>
      </c>
      <c r="Y160" s="40">
        <f t="shared" si="167"/>
        <v>0</v>
      </c>
      <c r="Z160" s="40">
        <f t="shared" si="168"/>
        <v>-22737.293976646211</v>
      </c>
      <c r="AA160" s="44">
        <f t="shared" si="169"/>
        <v>426324.26206211647</v>
      </c>
      <c r="AB160" s="35">
        <f t="shared" si="170"/>
        <v>75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6108.5791005747642</v>
      </c>
      <c r="AD160" s="57">
        <v>0</v>
      </c>
      <c r="AE160" s="57">
        <v>4</v>
      </c>
      <c r="AF160" s="61">
        <f t="shared" si="158"/>
        <v>71</v>
      </c>
      <c r="AG160" s="40">
        <f t="shared" si="171"/>
        <v>0</v>
      </c>
      <c r="AH160" s="40">
        <f t="shared" si="172"/>
        <v>-24434.316402299057</v>
      </c>
      <c r="AI160" s="44">
        <f t="shared" si="173"/>
        <v>433709.11614080827</v>
      </c>
      <c r="AJ160" s="35">
        <f t="shared" si="159"/>
        <v>71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6552.1019372528144</v>
      </c>
      <c r="AL160" s="57">
        <v>3</v>
      </c>
      <c r="AM160" s="57">
        <v>2</v>
      </c>
      <c r="AN160" s="61">
        <f t="shared" si="160"/>
        <v>72</v>
      </c>
      <c r="AO160" s="40">
        <f t="shared" si="174"/>
        <v>19656.305811758444</v>
      </c>
      <c r="AP160" s="40">
        <f t="shared" si="175"/>
        <v>-13104.203874505629</v>
      </c>
      <c r="AQ160" s="44">
        <f t="shared" si="176"/>
        <v>471751.33948220266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390</v>
      </c>
      <c r="G161" s="35">
        <f>SUMIFS(WORKING!$AC$3:$AC$6802,WORKING!$A$3:$A$6802,Results!$D$3,WORKING!$B$3:$B$6802,Results!A161,WORKING!$C$3:$C$6802,Results!C161)/1000</f>
        <v>450947.85134000028</v>
      </c>
      <c r="H161" s="35">
        <f t="shared" si="161"/>
        <v>1156.2765418974366</v>
      </c>
      <c r="I161" s="187">
        <v>118</v>
      </c>
      <c r="J161" s="212">
        <v>450947.85134000028</v>
      </c>
      <c r="K161" s="217">
        <f t="shared" si="162"/>
        <v>3821.5919605084769</v>
      </c>
      <c r="L161" s="34">
        <f t="shared" si="155"/>
        <v>118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4006.1121994769196</v>
      </c>
      <c r="N161" s="57">
        <v>5</v>
      </c>
      <c r="O161" s="57">
        <v>9</v>
      </c>
      <c r="P161" s="61">
        <f t="shared" si="156"/>
        <v>114</v>
      </c>
      <c r="Q161" s="40">
        <f t="shared" si="163"/>
        <v>20030.560997384597</v>
      </c>
      <c r="R161" s="40">
        <f t="shared" si="164"/>
        <v>-36055.009795292273</v>
      </c>
      <c r="S161" s="44">
        <f t="shared" si="165"/>
        <v>456696.79074036883</v>
      </c>
      <c r="T161" s="35">
        <f t="shared" si="166"/>
        <v>114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4309.3071106886782</v>
      </c>
      <c r="V161" s="57">
        <v>0</v>
      </c>
      <c r="W161" s="57">
        <v>6</v>
      </c>
      <c r="X161" s="61">
        <f t="shared" si="157"/>
        <v>108</v>
      </c>
      <c r="Y161" s="40">
        <f t="shared" si="167"/>
        <v>0</v>
      </c>
      <c r="Z161" s="40">
        <f t="shared" si="168"/>
        <v>-25855.842664132069</v>
      </c>
      <c r="AA161" s="44">
        <f t="shared" si="169"/>
        <v>465405.16795437725</v>
      </c>
      <c r="AB161" s="35">
        <f t="shared" si="170"/>
        <v>108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4631.0756818513901</v>
      </c>
      <c r="AD161" s="57">
        <v>0</v>
      </c>
      <c r="AE161" s="57">
        <v>8</v>
      </c>
      <c r="AF161" s="61">
        <f t="shared" si="158"/>
        <v>100</v>
      </c>
      <c r="AG161" s="40">
        <f t="shared" si="171"/>
        <v>0</v>
      </c>
      <c r="AH161" s="40">
        <f t="shared" si="172"/>
        <v>-37048.605454811121</v>
      </c>
      <c r="AI161" s="44">
        <f t="shared" si="173"/>
        <v>463107.56818513898</v>
      </c>
      <c r="AJ161" s="35">
        <f t="shared" si="159"/>
        <v>100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4967.4709721490408</v>
      </c>
      <c r="AL161" s="57">
        <v>5</v>
      </c>
      <c r="AM161" s="57">
        <v>11</v>
      </c>
      <c r="AN161" s="61">
        <f t="shared" si="160"/>
        <v>94</v>
      </c>
      <c r="AO161" s="40">
        <f t="shared" si="174"/>
        <v>24837.354860745203</v>
      </c>
      <c r="AP161" s="40">
        <f t="shared" si="175"/>
        <v>-54642.18069363945</v>
      </c>
      <c r="AQ161" s="44">
        <f t="shared" si="176"/>
        <v>466942.27138200984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3443.8383699999999</v>
      </c>
      <c r="H162" s="35">
        <f t="shared" si="161"/>
        <v>3443.8383699999999</v>
      </c>
      <c r="I162" s="187">
        <v>14</v>
      </c>
      <c r="J162" s="212">
        <v>3443.8383699999999</v>
      </c>
      <c r="K162" s="217">
        <f t="shared" si="162"/>
        <v>245.98845499999999</v>
      </c>
      <c r="L162" s="34">
        <f t="shared" si="155"/>
        <v>14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257.89500926592495</v>
      </c>
      <c r="N162" s="57">
        <v>0</v>
      </c>
      <c r="O162" s="57">
        <v>1</v>
      </c>
      <c r="P162" s="61">
        <f t="shared" si="156"/>
        <v>13</v>
      </c>
      <c r="Q162" s="40">
        <f t="shared" si="163"/>
        <v>0</v>
      </c>
      <c r="R162" s="40">
        <f t="shared" si="164"/>
        <v>-257.89500926592495</v>
      </c>
      <c r="S162" s="44">
        <f t="shared" si="165"/>
        <v>3352.6351204570246</v>
      </c>
      <c r="T162" s="35">
        <f t="shared" si="166"/>
        <v>13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277.44486717136147</v>
      </c>
      <c r="V162" s="57">
        <v>0</v>
      </c>
      <c r="W162" s="57">
        <v>1</v>
      </c>
      <c r="X162" s="61">
        <f t="shared" si="157"/>
        <v>12</v>
      </c>
      <c r="Y162" s="40">
        <f t="shared" si="167"/>
        <v>0</v>
      </c>
      <c r="Z162" s="40">
        <f t="shared" si="168"/>
        <v>-277.44486717136147</v>
      </c>
      <c r="AA162" s="44">
        <f t="shared" si="169"/>
        <v>3329.3384060563376</v>
      </c>
      <c r="AB162" s="35">
        <f t="shared" si="170"/>
        <v>12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298.19512985854561</v>
      </c>
      <c r="AD162" s="57">
        <v>0</v>
      </c>
      <c r="AE162" s="57">
        <v>3</v>
      </c>
      <c r="AF162" s="61">
        <f t="shared" si="158"/>
        <v>9</v>
      </c>
      <c r="AG162" s="40">
        <f t="shared" si="171"/>
        <v>0</v>
      </c>
      <c r="AH162" s="40">
        <f t="shared" si="172"/>
        <v>-894.58538957563678</v>
      </c>
      <c r="AI162" s="44">
        <f t="shared" si="173"/>
        <v>2683.7561687269103</v>
      </c>
      <c r="AJ162" s="35">
        <f t="shared" si="159"/>
        <v>9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319.89203379871418</v>
      </c>
      <c r="AL162" s="57">
        <v>0</v>
      </c>
      <c r="AM162" s="57">
        <v>2</v>
      </c>
      <c r="AN162" s="61">
        <f t="shared" si="160"/>
        <v>7</v>
      </c>
      <c r="AO162" s="40">
        <f t="shared" si="174"/>
        <v>0</v>
      </c>
      <c r="AP162" s="40">
        <f t="shared" si="175"/>
        <v>-639.78406759742836</v>
      </c>
      <c r="AQ162" s="44">
        <f t="shared" si="176"/>
        <v>2239.2442365909992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18</v>
      </c>
      <c r="G163" s="35">
        <f>SUMIFS(WORKING!$AC$3:$AC$6802,WORKING!$A$3:$A$6802,Results!$D$3,WORKING!$B$3:$B$6802,Results!A163,WORKING!$C$3:$C$6802,Results!C163)/1000</f>
        <v>31393.093879999997</v>
      </c>
      <c r="H163" s="35">
        <f t="shared" si="161"/>
        <v>1744.0607711111109</v>
      </c>
      <c r="I163" s="187">
        <v>5</v>
      </c>
      <c r="J163" s="212">
        <v>31393.093879999997</v>
      </c>
      <c r="K163" s="217">
        <f t="shared" si="162"/>
        <v>6278.6187759999993</v>
      </c>
      <c r="L163" s="34">
        <f t="shared" si="155"/>
        <v>5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6581.9248267845678</v>
      </c>
      <c r="N163" s="57">
        <v>0</v>
      </c>
      <c r="O163" s="57">
        <v>0</v>
      </c>
      <c r="P163" s="61">
        <f t="shared" si="156"/>
        <v>5</v>
      </c>
      <c r="Q163" s="40">
        <f t="shared" si="163"/>
        <v>0</v>
      </c>
      <c r="R163" s="40">
        <f t="shared" si="164"/>
        <v>0</v>
      </c>
      <c r="S163" s="44">
        <f t="shared" si="165"/>
        <v>32909.624133922836</v>
      </c>
      <c r="T163" s="35">
        <f t="shared" si="166"/>
        <v>5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7080.228354721351</v>
      </c>
      <c r="V163" s="57">
        <v>0</v>
      </c>
      <c r="W163" s="57">
        <v>0</v>
      </c>
      <c r="X163" s="61">
        <f t="shared" si="157"/>
        <v>5</v>
      </c>
      <c r="Y163" s="40">
        <f t="shared" si="167"/>
        <v>0</v>
      </c>
      <c r="Z163" s="40">
        <f t="shared" si="168"/>
        <v>0</v>
      </c>
      <c r="AA163" s="44">
        <f t="shared" si="169"/>
        <v>35401.141773606752</v>
      </c>
      <c r="AB163" s="35">
        <f t="shared" si="170"/>
        <v>5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7609.0722343207472</v>
      </c>
      <c r="AD163" s="57">
        <v>2</v>
      </c>
      <c r="AE163" s="57">
        <v>0</v>
      </c>
      <c r="AF163" s="61">
        <f t="shared" si="158"/>
        <v>7</v>
      </c>
      <c r="AG163" s="40">
        <f t="shared" si="171"/>
        <v>15218.144468641494</v>
      </c>
      <c r="AH163" s="40">
        <f t="shared" si="172"/>
        <v>0</v>
      </c>
      <c r="AI163" s="44">
        <f t="shared" si="173"/>
        <v>53263.505640245232</v>
      </c>
      <c r="AJ163" s="35">
        <f t="shared" si="159"/>
        <v>7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8161.9734201177725</v>
      </c>
      <c r="AL163" s="57">
        <v>0</v>
      </c>
      <c r="AM163" s="57">
        <v>1</v>
      </c>
      <c r="AN163" s="61">
        <f t="shared" si="160"/>
        <v>6</v>
      </c>
      <c r="AO163" s="40">
        <f t="shared" si="174"/>
        <v>0</v>
      </c>
      <c r="AP163" s="40">
        <f t="shared" si="175"/>
        <v>-8161.9734201177725</v>
      </c>
      <c r="AQ163" s="44">
        <f t="shared" si="176"/>
        <v>48971.840520706639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>
        <v>0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5046</v>
      </c>
      <c r="G168" s="41">
        <f>SUM(G148:G167)</f>
        <v>2823471.1743399999</v>
      </c>
      <c r="H168" s="41">
        <f>IFERROR(G168/F168,0)</f>
        <v>559.54640791518034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4998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2835966.6176800006</v>
      </c>
      <c r="K168" s="41">
        <f>IFERROR(J168/I168,"")</f>
        <v>567.42029165266115</v>
      </c>
      <c r="L168" s="41">
        <f>SUM(L148:L167)</f>
        <v>4998</v>
      </c>
      <c r="M168" s="41">
        <f>IFERROR(S168/P168,0)</f>
        <v>618.30093966646007</v>
      </c>
      <c r="N168" s="41">
        <f t="shared" ref="N168:T168" si="177">SUM(N148:N167)</f>
        <v>108</v>
      </c>
      <c r="O168" s="41">
        <f t="shared" si="177"/>
        <v>310</v>
      </c>
      <c r="P168" s="41">
        <f t="shared" si="177"/>
        <v>4796</v>
      </c>
      <c r="Q168" s="41">
        <f t="shared" si="177"/>
        <v>92816.704637052404</v>
      </c>
      <c r="R168" s="41">
        <f t="shared" si="177"/>
        <v>-182269.53701566634</v>
      </c>
      <c r="S168" s="45">
        <f t="shared" si="177"/>
        <v>2965371.3066403423</v>
      </c>
      <c r="T168" s="41">
        <f t="shared" si="177"/>
        <v>4796</v>
      </c>
      <c r="U168" s="41">
        <f>IFERROR(AA168/X168,0)</f>
        <v>670.67882436243679</v>
      </c>
      <c r="V168" s="41">
        <f t="shared" ref="V168:AB168" si="178">SUM(V148:V167)</f>
        <v>17</v>
      </c>
      <c r="W168" s="41">
        <f t="shared" si="178"/>
        <v>262</v>
      </c>
      <c r="X168" s="41">
        <f t="shared" si="178"/>
        <v>4551</v>
      </c>
      <c r="Y168" s="41">
        <f t="shared" si="178"/>
        <v>17419.444238539436</v>
      </c>
      <c r="Z168" s="41">
        <f t="shared" si="178"/>
        <v>-175182.91086825906</v>
      </c>
      <c r="AA168" s="45">
        <f t="shared" si="178"/>
        <v>3052259.32967345</v>
      </c>
      <c r="AB168" s="41">
        <f t="shared" si="178"/>
        <v>4551</v>
      </c>
      <c r="AC168" s="41">
        <f>IFERROR(AI168/AF168,0)</f>
        <v>730.24749590094234</v>
      </c>
      <c r="AD168" s="41">
        <f t="shared" ref="AD168:AJ168" si="179">SUM(AD148:AD167)</f>
        <v>32</v>
      </c>
      <c r="AE168" s="41">
        <f t="shared" si="179"/>
        <v>275</v>
      </c>
      <c r="AF168" s="41">
        <f t="shared" si="179"/>
        <v>4308</v>
      </c>
      <c r="AG168" s="41">
        <f t="shared" si="179"/>
        <v>40084.229189109727</v>
      </c>
      <c r="AH168" s="41">
        <f t="shared" si="179"/>
        <v>-195227.27657369865</v>
      </c>
      <c r="AI168" s="45">
        <f t="shared" si="179"/>
        <v>3145906.2123412597</v>
      </c>
      <c r="AJ168" s="41">
        <f t="shared" si="179"/>
        <v>4308</v>
      </c>
      <c r="AK168" s="41">
        <f>IFERROR(AQ168/AN168,0)</f>
        <v>786.60865080898918</v>
      </c>
      <c r="AL168" s="41">
        <f t="shared" ref="AL168:AQ168" si="180">SUM(AL148:AL167)</f>
        <v>199</v>
      </c>
      <c r="AM168" s="41">
        <f t="shared" si="180"/>
        <v>182</v>
      </c>
      <c r="AN168" s="41">
        <f t="shared" si="180"/>
        <v>4325</v>
      </c>
      <c r="AO168" s="41">
        <f t="shared" si="180"/>
        <v>177107.88778527774</v>
      </c>
      <c r="AP168" s="41">
        <f t="shared" si="180"/>
        <v>-171034.5784908926</v>
      </c>
      <c r="AQ168" s="45">
        <f t="shared" si="180"/>
        <v>3402082.4147488782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3007463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3111219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3229218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3474638.5680000004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42091.693359657656</v>
      </c>
      <c r="T170" s="39"/>
      <c r="U170" s="39"/>
      <c r="V170" s="53"/>
      <c r="W170" s="53"/>
      <c r="X170" s="110"/>
      <c r="Y170" s="39"/>
      <c r="Z170" s="39"/>
      <c r="AA170" s="54">
        <f>AA169-AA168</f>
        <v>58959.670326550025</v>
      </c>
      <c r="AB170" s="39"/>
      <c r="AC170" s="53"/>
      <c r="AD170" s="53"/>
      <c r="AE170" s="110"/>
      <c r="AF170" s="39"/>
      <c r="AG170" s="39"/>
      <c r="AH170" s="39"/>
      <c r="AI170" s="54">
        <f>AI169-AI168</f>
        <v>83311.787658740301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72556.153251122218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Auxiliary and Associated Services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1592.0441500000002</v>
      </c>
      <c r="H204" s="35">
        <f>IFERROR(G204/F204,0)</f>
        <v>0</v>
      </c>
      <c r="I204" s="156" t="s">
        <v>754</v>
      </c>
      <c r="J204" s="211">
        <v>0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>
        <v>0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33.580109999999998</v>
      </c>
      <c r="H206" s="35">
        <f t="shared" si="213"/>
        <v>0</v>
      </c>
      <c r="I206" s="187" t="s">
        <v>754</v>
      </c>
      <c r="J206" s="212">
        <v>0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>
        <v>0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170.79676000000001</v>
      </c>
      <c r="H208" s="35">
        <f t="shared" si="213"/>
        <v>0</v>
      </c>
      <c r="I208" s="187" t="s">
        <v>754</v>
      </c>
      <c r="J208" s="212">
        <v>0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>
        <v>0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75.301780000000008</v>
      </c>
      <c r="H210" s="35">
        <f t="shared" si="213"/>
        <v>0</v>
      </c>
      <c r="I210" s="187" t="s">
        <v>754</v>
      </c>
      <c r="J210" s="212">
        <v>0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>
        <v>0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>
        <v>0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>
        <v>0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378</v>
      </c>
      <c r="G214" s="35">
        <f>SUMIFS(WORKING!$AC$3:$AC$6802,WORKING!$A$3:$A$6802,Results!$D$3,WORKING!$B$3:$B$6802,Results!A214,WORKING!$C$3:$C$6802,Results!C214)/1000</f>
        <v>221667.52576999989</v>
      </c>
      <c r="H214" s="35">
        <f t="shared" si="213"/>
        <v>586.42202584656059</v>
      </c>
      <c r="I214" s="187">
        <v>0</v>
      </c>
      <c r="J214" s="212">
        <v>0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640.45482880674376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695.56583378303208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754.71313010299605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817.35793712919781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1225</v>
      </c>
      <c r="G215" s="35">
        <f>SUMIFS(WORKING!$AC$3:$AC$6802,WORKING!$A$3:$A$6802,Results!$D$3,WORKING!$B$3:$B$6802,Results!A215,WORKING!$C$3:$C$6802,Results!C215)/1000</f>
        <v>991019.96918999974</v>
      </c>
      <c r="H215" s="35">
        <f t="shared" si="213"/>
        <v>808.99589321632629</v>
      </c>
      <c r="I215" s="187">
        <v>0</v>
      </c>
      <c r="J215" s="212">
        <v>0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883.26210386670311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958.96859425504954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1040.1910170115243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1126.1818598645048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80</v>
      </c>
      <c r="G216" s="35">
        <f>SUMIFS(WORKING!$AC$3:$AC$6802,WORKING!$A$3:$A$6802,Results!$D$3,WORKING!$B$3:$B$6802,Results!A216,WORKING!$C$3:$C$6802,Results!C216)/1000</f>
        <v>77366.481440000047</v>
      </c>
      <c r="H216" s="35">
        <f t="shared" si="213"/>
        <v>967.08101800000054</v>
      </c>
      <c r="I216" s="187">
        <v>0</v>
      </c>
      <c r="J216" s="212">
        <v>0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1013.7150943901955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1090.3715498349061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1171.7182766093292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1256.7558753096705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360</v>
      </c>
      <c r="G217" s="35">
        <f>SUMIFS(WORKING!$AC$3:$AC$6802,WORKING!$A$3:$A$6802,Results!$D$3,WORKING!$B$3:$B$6802,Results!A217,WORKING!$C$3:$C$6802,Results!C217)/1000</f>
        <v>411672.6176299997</v>
      </c>
      <c r="H217" s="35">
        <f t="shared" si="213"/>
        <v>1143.5350489722214</v>
      </c>
      <c r="I217" s="187">
        <v>0</v>
      </c>
      <c r="J217" s="212">
        <v>0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1198.6850416067455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1289.3363749464806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1385.5349314248722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1486.0990307669585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>
        <v>0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390.40700999999996</v>
      </c>
      <c r="H219" s="35">
        <f t="shared" si="213"/>
        <v>0</v>
      </c>
      <c r="I219" s="187">
        <v>0</v>
      </c>
      <c r="J219" s="212">
        <v>0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756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>
        <v>1895</v>
      </c>
      <c r="J220" s="212">
        <v>1706449</v>
      </c>
      <c r="K220" s="217">
        <f t="shared" si="214"/>
        <v>900.50079155672825</v>
      </c>
      <c r="L220" s="34">
        <f t="shared" si="207"/>
        <v>1895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930.21731767810024</v>
      </c>
      <c r="N220" s="57">
        <v>164</v>
      </c>
      <c r="O220" s="57">
        <v>0</v>
      </c>
      <c r="P220" s="61">
        <f t="shared" si="208"/>
        <v>2059</v>
      </c>
      <c r="Q220" s="40">
        <f t="shared" si="215"/>
        <v>152555.64009920845</v>
      </c>
      <c r="R220" s="40">
        <f t="shared" si="216"/>
        <v>0</v>
      </c>
      <c r="S220" s="44">
        <f t="shared" si="217"/>
        <v>1915317.4570992084</v>
      </c>
      <c r="T220" s="35">
        <f t="shared" si="218"/>
        <v>2059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986.03035673878628</v>
      </c>
      <c r="V220" s="57">
        <v>0</v>
      </c>
      <c r="W220" s="57">
        <v>25</v>
      </c>
      <c r="X220" s="61">
        <f t="shared" si="209"/>
        <v>2034</v>
      </c>
      <c r="Y220" s="40">
        <f t="shared" si="219"/>
        <v>0</v>
      </c>
      <c r="Z220" s="40">
        <f t="shared" si="220"/>
        <v>-24650.758918469655</v>
      </c>
      <c r="AA220" s="44">
        <f t="shared" si="221"/>
        <v>2005585.7456066913</v>
      </c>
      <c r="AB220" s="35">
        <f t="shared" si="222"/>
        <v>2034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1044.2061477863747</v>
      </c>
      <c r="AD220" s="57">
        <v>0</v>
      </c>
      <c r="AE220" s="57">
        <v>2</v>
      </c>
      <c r="AF220" s="61">
        <f t="shared" si="210"/>
        <v>2032</v>
      </c>
      <c r="AG220" s="40">
        <f t="shared" si="223"/>
        <v>0</v>
      </c>
      <c r="AH220" s="40">
        <f t="shared" si="224"/>
        <v>-2088.4122955727494</v>
      </c>
      <c r="AI220" s="44">
        <f t="shared" si="225"/>
        <v>2121826.8923019134</v>
      </c>
      <c r="AJ220" s="35">
        <f t="shared" si="211"/>
        <v>2032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1103.725898210198</v>
      </c>
      <c r="AL220" s="57">
        <v>39</v>
      </c>
      <c r="AM220" s="57">
        <v>0</v>
      </c>
      <c r="AN220" s="61">
        <f t="shared" si="212"/>
        <v>2071</v>
      </c>
      <c r="AO220" s="40">
        <f t="shared" si="226"/>
        <v>43045.310030197725</v>
      </c>
      <c r="AP220" s="40">
        <f t="shared" si="227"/>
        <v>0</v>
      </c>
      <c r="AQ220" s="44">
        <f t="shared" si="228"/>
        <v>2285816.3351933202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>
        <v>0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>
        <v>0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>
        <v>0</v>
      </c>
      <c r="J223" s="213">
        <v>0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2043</v>
      </c>
      <c r="G224" s="41">
        <f>SUM(G204:G223)</f>
        <v>1703988.7238399994</v>
      </c>
      <c r="H224" s="41">
        <f>IFERROR(G224/F224,0)</f>
        <v>834.06202831130656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1895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1706449</v>
      </c>
      <c r="K224" s="41">
        <f>IFERROR(J224/I224,"")</f>
        <v>900.50079155672825</v>
      </c>
      <c r="L224" s="41">
        <f>SUM(L204:L223)</f>
        <v>1895</v>
      </c>
      <c r="M224" s="41">
        <f>IFERROR(S224/P224,0)</f>
        <v>930.21731767810024</v>
      </c>
      <c r="N224" s="41">
        <f t="shared" ref="N224:T224" si="230">SUM(N204:N223)</f>
        <v>164</v>
      </c>
      <c r="O224" s="41">
        <f t="shared" si="230"/>
        <v>0</v>
      </c>
      <c r="P224" s="41">
        <f t="shared" si="230"/>
        <v>2059</v>
      </c>
      <c r="Q224" s="41">
        <f t="shared" si="230"/>
        <v>152555.64009920845</v>
      </c>
      <c r="R224" s="41">
        <f t="shared" si="230"/>
        <v>0</v>
      </c>
      <c r="S224" s="45">
        <f t="shared" si="230"/>
        <v>1915317.4570992084</v>
      </c>
      <c r="T224" s="41">
        <f t="shared" si="230"/>
        <v>2059</v>
      </c>
      <c r="U224" s="41">
        <f>IFERROR(AA224/X224,0)</f>
        <v>986.03035673878628</v>
      </c>
      <c r="V224" s="41">
        <f t="shared" ref="V224:AB224" si="231">SUM(V204:V223)</f>
        <v>0</v>
      </c>
      <c r="W224" s="41">
        <f t="shared" si="231"/>
        <v>25</v>
      </c>
      <c r="X224" s="41">
        <f t="shared" si="231"/>
        <v>2034</v>
      </c>
      <c r="Y224" s="41">
        <f t="shared" si="231"/>
        <v>0</v>
      </c>
      <c r="Z224" s="41">
        <f t="shared" si="231"/>
        <v>-24650.758918469655</v>
      </c>
      <c r="AA224" s="45">
        <f t="shared" si="231"/>
        <v>2005585.7456066913</v>
      </c>
      <c r="AB224" s="41">
        <f t="shared" si="231"/>
        <v>2034</v>
      </c>
      <c r="AC224" s="41">
        <f>IFERROR(AI224/AF224,0)</f>
        <v>1044.2061477863747</v>
      </c>
      <c r="AD224" s="41">
        <f t="shared" ref="AD224:AJ224" si="232">SUM(AD204:AD223)</f>
        <v>0</v>
      </c>
      <c r="AE224" s="41">
        <f t="shared" si="232"/>
        <v>2</v>
      </c>
      <c r="AF224" s="41">
        <f t="shared" si="232"/>
        <v>2032</v>
      </c>
      <c r="AG224" s="41">
        <f t="shared" si="232"/>
        <v>0</v>
      </c>
      <c r="AH224" s="41">
        <f t="shared" si="232"/>
        <v>-2088.4122955727494</v>
      </c>
      <c r="AI224" s="45">
        <f t="shared" si="232"/>
        <v>2121826.8923019134</v>
      </c>
      <c r="AJ224" s="41">
        <f t="shared" si="232"/>
        <v>2032</v>
      </c>
      <c r="AK224" s="41">
        <f>IFERROR(AQ224/AN224,0)</f>
        <v>1103.725898210198</v>
      </c>
      <c r="AL224" s="41">
        <f t="shared" ref="AL224:AQ224" si="233">SUM(AL204:AL223)</f>
        <v>39</v>
      </c>
      <c r="AM224" s="41">
        <f t="shared" si="233"/>
        <v>0</v>
      </c>
      <c r="AN224" s="41">
        <f t="shared" si="233"/>
        <v>2071</v>
      </c>
      <c r="AO224" s="41">
        <f t="shared" si="233"/>
        <v>43045.310030197725</v>
      </c>
      <c r="AP224" s="41">
        <f t="shared" si="233"/>
        <v>0</v>
      </c>
      <c r="AQ224" s="45">
        <f t="shared" si="233"/>
        <v>2285816.3351933202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1977024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2074226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2194531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2361315.3560000001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61706.542900791625</v>
      </c>
      <c r="T226" s="39"/>
      <c r="U226" s="39"/>
      <c r="V226" s="53"/>
      <c r="W226" s="53"/>
      <c r="X226" s="110"/>
      <c r="Y226" s="39"/>
      <c r="Z226" s="39"/>
      <c r="AA226" s="54">
        <f>AA225-AA224</f>
        <v>68640.254393308656</v>
      </c>
      <c r="AB226" s="39"/>
      <c r="AC226" s="53"/>
      <c r="AD226" s="53"/>
      <c r="AE226" s="110"/>
      <c r="AF226" s="39"/>
      <c r="AG226" s="39"/>
      <c r="AH226" s="39"/>
      <c r="AI226" s="54">
        <f>AI225-AI224</f>
        <v>72704.107698086649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75499.020806679968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Direct charge against the National Revenue Fund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weNch+dg5qHtMtJ/Uw1NBYZmR4K/yqBXspKBMmQhcZSBV+XMN+TfyowVhoMtfZcS9pY11mcOTDGschOreUy9jA==" saltValue="EtDOaKJVddGTOZRDhu4mNg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Justice And Constitutional Development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21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42671.501751041666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NAT_HRBP__42671.5017510417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HRBP-Vote21.xlsx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microsoft.com/sharepoint/v3"/>
    <ds:schemaRef ds:uri="http://purl.org/dc/elements/1.1/"/>
    <ds:schemaRef ds:uri="http://schemas.microsoft.com/office/2006/documentManagement/types"/>
    <ds:schemaRef ds:uri="http://schemas.microsoft.com/office/2006/metadata/properties"/>
    <ds:schemaRef ds:uri="df7ca258-5e24-45de-bd31-dbc76bc6765a"/>
    <ds:schemaRef ds:uri="http://purl.org/dc/dcmitype/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2016-10-28T10:03:33Z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